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4.200\condivisa1\riprogrammazione 2023\2023\da approvare\"/>
    </mc:Choice>
  </mc:AlternateContent>
  <xr:revisionPtr revIDLastSave="0" documentId="13_ncr:1_{95442827-545D-429F-B8AA-B3C077C86C1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PDZ" sheetId="9" r:id="rId1"/>
    <sheet name="scheda A" sheetId="1" r:id="rId2"/>
    <sheet name="scheda B" sheetId="4" r:id="rId3"/>
    <sheet name="scheda C" sheetId="5" r:id="rId4"/>
    <sheet name="Dettaglio FNPS" sheetId="7" r:id="rId5"/>
  </sheets>
  <externalReferences>
    <externalReference r:id="rId6"/>
    <externalReference r:id="rId7"/>
  </externalReferences>
  <definedNames>
    <definedName name="_xlnm.Print_Area" localSheetId="0">'BUDGET PDZ'!$A$1:$G$23</definedName>
    <definedName name="_xlnm.Print_Area" localSheetId="1">'scheda A'!$A$1:$W$47</definedName>
    <definedName name="_xlnm.Print_Area" localSheetId="2">'scheda B'!$A$1:$BC$48</definedName>
    <definedName name="_xlnm.Print_Area" localSheetId="3">'scheda C'!$A$1:$AQ$48</definedName>
    <definedName name="gestdef">#N/A</definedName>
    <definedName name="gestione">#REF!</definedName>
    <definedName name="gestionedef">#REF!</definedName>
    <definedName name="menù1">NA()</definedName>
    <definedName name="regolamento4">[1]tendine!$M$1:$M$64</definedName>
    <definedName name="scelta1">NA()</definedName>
    <definedName name="SHARED_FORMULA_10_48_10_48_0">SUM(#REF!)</definedName>
    <definedName name="SHARED_FORMULA_20_103_20_103_6">SUM(#REF!)</definedName>
    <definedName name="SHARED_FORMULA_20_119_20_119_9">SUM(#REF!)</definedName>
    <definedName name="SHARED_FORMULA_20_151_20_151_6">SUM(#REF!)</definedName>
    <definedName name="SHARED_FORMULA_20_151_20_151_7">SUM(#REF!)</definedName>
    <definedName name="SHARED_FORMULA_20_16_20_16_7">SUM(#REF!)</definedName>
    <definedName name="SHARED_FORMULA_20_16_20_16_8">SUM(#REF!)</definedName>
    <definedName name="SHARED_FORMULA_20_16_20_16_9">SUM(#REF!)</definedName>
    <definedName name="SHARED_FORMULA_20_183_20_183_9">SUM(#REF!)</definedName>
    <definedName name="SHARED_FORMULA_20_199_20_199_6">SUM(#REF!)</definedName>
    <definedName name="SHARED_FORMULA_20_222_20_222_6">SUM(#REF!)</definedName>
    <definedName name="SHARED_FORMULA_20_222_20_222_7">SUM(#REF!)</definedName>
    <definedName name="SHARED_FORMULA_20_222_20_222_8">SUM(#REF!)</definedName>
    <definedName name="SHARED_FORMULA_20_55_20_55_7">SUM(#REF!)</definedName>
    <definedName name="SHARED_FORMULA_20_55_20_55_9">SUM(#REF!)</definedName>
    <definedName name="SHARED_FORMULA_20_70_20_70_6">SUM(#REF!)</definedName>
    <definedName name="SHARED_FORMULA_3_48_3_48_0">SUM(#REF!)</definedName>
    <definedName name="SHARED_FORMULA_8_12_8_12_6">SUM(#REF!)</definedName>
    <definedName name="SHARED_FORMULA_8_12_8_12_7">SUM(#REF!)</definedName>
    <definedName name="SHARED_FORMULA_8_12_8_12_8">SUM(#REF!)</definedName>
    <definedName name="SHARED_FORMULA_8_12_8_12_9">SUM(#REF!)</definedName>
    <definedName name="SHARED_FORMULA_9_10_9_10_6">#REF!-#REF!</definedName>
    <definedName name="SHARED_FORMULA_9_10_9_10_7">#REF!-#REF!</definedName>
    <definedName name="SHARED_FORMULA_9_10_9_10_8">#REF!-#REF!</definedName>
    <definedName name="terdef">#N/A</definedName>
    <definedName name="territoriodef">#REF!</definedName>
    <definedName name="X">[2]tendine!$O$1:$O$3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5" l="1"/>
  <c r="L9" i="5"/>
  <c r="U9" i="5"/>
  <c r="U48" i="5" s="1"/>
  <c r="G12" i="5"/>
  <c r="G48" i="5" s="1"/>
  <c r="Q12" i="5"/>
  <c r="L15" i="5"/>
  <c r="L48" i="5" s="1"/>
  <c r="N15" i="5"/>
  <c r="W16" i="5"/>
  <c r="H17" i="5"/>
  <c r="L17" i="5"/>
  <c r="G19" i="5"/>
  <c r="L21" i="5"/>
  <c r="H25" i="5"/>
  <c r="R28" i="5"/>
  <c r="V29" i="5"/>
  <c r="V48" i="5" s="1"/>
  <c r="P34" i="5"/>
  <c r="K35" i="5"/>
  <c r="M36" i="5"/>
  <c r="M48" i="5" s="1"/>
  <c r="I39" i="5"/>
  <c r="J39" i="5"/>
  <c r="H48" i="5"/>
  <c r="I48" i="5"/>
  <c r="J48" i="5"/>
  <c r="K48" i="5"/>
  <c r="N48" i="5"/>
  <c r="O48" i="5"/>
  <c r="P48" i="5"/>
  <c r="Q48" i="5"/>
  <c r="R48" i="5"/>
  <c r="S48" i="5"/>
  <c r="T48" i="5"/>
  <c r="W48" i="5"/>
  <c r="X39" i="5"/>
  <c r="X48" i="5" s="1"/>
  <c r="J26" i="7"/>
  <c r="O51" i="1"/>
  <c r="N49" i="1"/>
  <c r="I50" i="1"/>
  <c r="R50" i="1"/>
  <c r="Y9" i="5" l="1"/>
  <c r="AQ9" i="5" s="1"/>
  <c r="AQ18" i="5"/>
  <c r="AL48" i="5"/>
  <c r="Q16" i="1"/>
  <c r="I10" i="1"/>
  <c r="J10" i="1"/>
  <c r="AQ29" i="5"/>
  <c r="AQ6" i="5"/>
  <c r="AQ7" i="5"/>
  <c r="AQ8" i="5"/>
  <c r="AG9" i="5"/>
  <c r="AG10" i="5"/>
  <c r="AQ10" i="5" s="1"/>
  <c r="AM11" i="5"/>
  <c r="AQ11" i="5" s="1"/>
  <c r="AG12" i="5"/>
  <c r="AQ13" i="5"/>
  <c r="AQ14" i="5"/>
  <c r="Z15" i="5"/>
  <c r="AB15" i="5"/>
  <c r="AB24" i="5" s="1"/>
  <c r="AQ24" i="5" s="1"/>
  <c r="AA16" i="5"/>
  <c r="AC17" i="5"/>
  <c r="AC48" i="5" s="1"/>
  <c r="AQ19" i="5"/>
  <c r="AQ20" i="5"/>
  <c r="AQ21" i="5"/>
  <c r="AQ22" i="5"/>
  <c r="AQ23" i="5"/>
  <c r="AQ25" i="5"/>
  <c r="AQ26" i="5"/>
  <c r="AQ27" i="5"/>
  <c r="AQ28" i="5"/>
  <c r="AQ30" i="5"/>
  <c r="AQ31" i="5"/>
  <c r="AQ32" i="5"/>
  <c r="AQ33" i="5"/>
  <c r="AQ34" i="5"/>
  <c r="AE35" i="5"/>
  <c r="AQ35" i="5" s="1"/>
  <c r="AQ36" i="5"/>
  <c r="AQ37" i="5"/>
  <c r="AQ38" i="5"/>
  <c r="AQ39" i="5"/>
  <c r="AQ40" i="5"/>
  <c r="AQ41" i="5"/>
  <c r="AQ42" i="5"/>
  <c r="AQ43" i="5"/>
  <c r="AQ44" i="5"/>
  <c r="AQ45" i="5"/>
  <c r="AQ46" i="5"/>
  <c r="R16" i="1"/>
  <c r="R47" i="1" s="1"/>
  <c r="G16" i="1"/>
  <c r="G10" i="1"/>
  <c r="G25" i="1"/>
  <c r="G7" i="1"/>
  <c r="G17" i="1"/>
  <c r="G29" i="1"/>
  <c r="G23" i="1"/>
  <c r="W23" i="1" s="1"/>
  <c r="G14" i="1"/>
  <c r="G5" i="1"/>
  <c r="G6" i="1"/>
  <c r="G11" i="1"/>
  <c r="G13" i="1"/>
  <c r="G32" i="1"/>
  <c r="G40" i="1"/>
  <c r="AQ5" i="5"/>
  <c r="AQ47" i="5"/>
  <c r="T5" i="1"/>
  <c r="U5" i="1"/>
  <c r="V5" i="1"/>
  <c r="I6" i="1"/>
  <c r="J6" i="1"/>
  <c r="J47" i="1" s="1"/>
  <c r="N6" i="1"/>
  <c r="O6" i="1"/>
  <c r="O47" i="1" s="1"/>
  <c r="T6" i="1"/>
  <c r="V6" i="1"/>
  <c r="I7" i="1"/>
  <c r="J7" i="1"/>
  <c r="T7" i="1"/>
  <c r="T8" i="1"/>
  <c r="W8" i="1" s="1"/>
  <c r="V8" i="1"/>
  <c r="H9" i="1"/>
  <c r="W9" i="1" s="1"/>
  <c r="H11" i="1"/>
  <c r="W11" i="1" s="1"/>
  <c r="W12" i="1"/>
  <c r="T13" i="1"/>
  <c r="N14" i="1"/>
  <c r="T15" i="1"/>
  <c r="V15" i="1"/>
  <c r="K16" i="1"/>
  <c r="L16" i="1"/>
  <c r="M16" i="1"/>
  <c r="M47" i="1" s="1"/>
  <c r="U16" i="1"/>
  <c r="V16" i="1"/>
  <c r="K17" i="1"/>
  <c r="V17" i="1"/>
  <c r="I18" i="1"/>
  <c r="J18" i="1"/>
  <c r="V19" i="1"/>
  <c r="W19" i="1" s="1"/>
  <c r="T20" i="1"/>
  <c r="W20" i="1" s="1"/>
  <c r="W21" i="1"/>
  <c r="W22" i="1"/>
  <c r="N24" i="1"/>
  <c r="T24" i="1"/>
  <c r="V24" i="1"/>
  <c r="H25" i="1"/>
  <c r="I25" i="1"/>
  <c r="J25" i="1"/>
  <c r="W26" i="1"/>
  <c r="W27" i="1"/>
  <c r="W28" i="1"/>
  <c r="T29" i="1"/>
  <c r="V29" i="1"/>
  <c r="W30" i="1"/>
  <c r="W31" i="1"/>
  <c r="S32" i="1"/>
  <c r="T32" i="1"/>
  <c r="V32" i="1"/>
  <c r="W33" i="1"/>
  <c r="W34" i="1"/>
  <c r="W35" i="1"/>
  <c r="W36" i="1"/>
  <c r="W37" i="1"/>
  <c r="W38" i="1"/>
  <c r="W39" i="1"/>
  <c r="Q40" i="1"/>
  <c r="T40" i="1"/>
  <c r="W41" i="1"/>
  <c r="W42" i="1"/>
  <c r="W43" i="1"/>
  <c r="W44" i="1"/>
  <c r="W45" i="1"/>
  <c r="W46" i="1"/>
  <c r="AH48" i="5"/>
  <c r="Z48" i="5"/>
  <c r="AA48" i="5"/>
  <c r="AD48" i="5"/>
  <c r="AE48" i="5"/>
  <c r="AF48" i="5"/>
  <c r="AI48" i="5"/>
  <c r="AJ48" i="5"/>
  <c r="AK48" i="5"/>
  <c r="AN48" i="5"/>
  <c r="AO48" i="5"/>
  <c r="AP48" i="5"/>
  <c r="W29" i="7"/>
  <c r="W33" i="7"/>
  <c r="P33" i="7"/>
  <c r="I33" i="7"/>
  <c r="V34" i="7"/>
  <c r="U34" i="7"/>
  <c r="T34" i="7"/>
  <c r="S34" i="7"/>
  <c r="R34" i="7"/>
  <c r="Q34" i="7"/>
  <c r="O34" i="7"/>
  <c r="N34" i="7"/>
  <c r="M34" i="7"/>
  <c r="L34" i="7"/>
  <c r="K34" i="7"/>
  <c r="J34" i="7"/>
  <c r="H34" i="7"/>
  <c r="G34" i="7"/>
  <c r="F34" i="7"/>
  <c r="E34" i="7"/>
  <c r="D34" i="7"/>
  <c r="C34" i="7"/>
  <c r="W32" i="7"/>
  <c r="P32" i="7"/>
  <c r="I32" i="7"/>
  <c r="W31" i="7"/>
  <c r="P31" i="7"/>
  <c r="I31" i="7"/>
  <c r="W30" i="7"/>
  <c r="P30" i="7"/>
  <c r="I30" i="7"/>
  <c r="W28" i="7"/>
  <c r="P28" i="7"/>
  <c r="I28" i="7"/>
  <c r="W27" i="7"/>
  <c r="P27" i="7"/>
  <c r="I27" i="7"/>
  <c r="W26" i="7"/>
  <c r="P26" i="7"/>
  <c r="I26" i="7"/>
  <c r="W25" i="7"/>
  <c r="P25" i="7"/>
  <c r="I25" i="7"/>
  <c r="I34" i="7" s="1"/>
  <c r="W24" i="7"/>
  <c r="P24" i="7"/>
  <c r="I24" i="7"/>
  <c r="W23" i="7"/>
  <c r="P23" i="7"/>
  <c r="I23" i="7"/>
  <c r="W22" i="7"/>
  <c r="P22" i="7"/>
  <c r="I22" i="7"/>
  <c r="W21" i="7"/>
  <c r="P21" i="7"/>
  <c r="I21" i="7"/>
  <c r="W20" i="7"/>
  <c r="P20" i="7"/>
  <c r="I20" i="7"/>
  <c r="W19" i="7"/>
  <c r="P19" i="7"/>
  <c r="I19" i="7"/>
  <c r="W18" i="7"/>
  <c r="P18" i="7"/>
  <c r="I18" i="7"/>
  <c r="W17" i="7"/>
  <c r="P17" i="7"/>
  <c r="I17" i="7"/>
  <c r="W16" i="7"/>
  <c r="P16" i="7"/>
  <c r="I16" i="7"/>
  <c r="W15" i="7"/>
  <c r="P15" i="7"/>
  <c r="I15" i="7"/>
  <c r="W14" i="7"/>
  <c r="P14" i="7"/>
  <c r="I14" i="7"/>
  <c r="W13" i="7"/>
  <c r="P13" i="7"/>
  <c r="I13" i="7"/>
  <c r="W12" i="7"/>
  <c r="P12" i="7"/>
  <c r="I12" i="7"/>
  <c r="W11" i="7"/>
  <c r="P11" i="7"/>
  <c r="I11" i="7"/>
  <c r="W10" i="7"/>
  <c r="P10" i="7"/>
  <c r="I10" i="7"/>
  <c r="W9" i="7"/>
  <c r="P9" i="7"/>
  <c r="I9" i="7"/>
  <c r="W8" i="7"/>
  <c r="P8" i="7"/>
  <c r="I8" i="7"/>
  <c r="W7" i="7"/>
  <c r="P7" i="7"/>
  <c r="I7" i="7"/>
  <c r="W6" i="7"/>
  <c r="W34" i="7" s="1"/>
  <c r="P6" i="7"/>
  <c r="I6" i="7"/>
  <c r="E13" i="9"/>
  <c r="E18" i="9"/>
  <c r="E9" i="9"/>
  <c r="BC42" i="4"/>
  <c r="BC43" i="4"/>
  <c r="BC44" i="4"/>
  <c r="BC45" i="4"/>
  <c r="BC46" i="4"/>
  <c r="BC47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G48" i="4"/>
  <c r="K47" i="1"/>
  <c r="P47" i="1"/>
  <c r="S47" i="1"/>
  <c r="BC7" i="4"/>
  <c r="BC8" i="4"/>
  <c r="BC9" i="4"/>
  <c r="BC48" i="4" s="1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6" i="4"/>
  <c r="AG48" i="5" l="1"/>
  <c r="Y48" i="5"/>
  <c r="AM48" i="5"/>
  <c r="AQ12" i="5"/>
  <c r="P34" i="7"/>
  <c r="W32" i="1"/>
  <c r="W7" i="1"/>
  <c r="H47" i="1"/>
  <c r="U47" i="1"/>
  <c r="W40" i="1"/>
  <c r="W24" i="1"/>
  <c r="W5" i="1"/>
  <c r="Q47" i="1"/>
  <c r="M52" i="1" s="1"/>
  <c r="W25" i="1"/>
  <c r="W29" i="1"/>
  <c r="W10" i="1"/>
  <c r="T47" i="1"/>
  <c r="W16" i="1"/>
  <c r="N47" i="1"/>
  <c r="W13" i="1"/>
  <c r="W18" i="1"/>
  <c r="W17" i="1"/>
  <c r="G47" i="1"/>
  <c r="L47" i="1"/>
  <c r="V47" i="1"/>
  <c r="E21" i="9" s="1"/>
  <c r="AQ17" i="5"/>
  <c r="AQ16" i="5"/>
  <c r="W6" i="1"/>
  <c r="I47" i="1"/>
  <c r="W14" i="1"/>
  <c r="AQ15" i="5"/>
  <c r="AB48" i="5"/>
  <c r="W15" i="1"/>
  <c r="W47" i="1" l="1"/>
  <c r="E19" i="9"/>
  <c r="T57" i="1"/>
  <c r="E6" i="9"/>
  <c r="G53" i="1"/>
  <c r="E20" i="9"/>
  <c r="U51" i="1"/>
  <c r="AQ48" i="5"/>
  <c r="S52" i="1" l="1"/>
  <c r="E22" i="9"/>
  <c r="E23" i="9" s="1"/>
</calcChain>
</file>

<file path=xl/sharedStrings.xml><?xml version="1.0" encoding="utf-8"?>
<sst xmlns="http://schemas.openxmlformats.org/spreadsheetml/2006/main" count="472" uniqueCount="206">
  <si>
    <t>SCHEDA A - SERVIZI DEL PIANO DI ZONA A VALENZA D'AMBITO 
(GESTIONE ASSOCIATA UNICA O UNITARIA)</t>
  </si>
  <si>
    <t>Interventi e servizi sociali</t>
  </si>
  <si>
    <t>RISORSE PROGRAMMATE</t>
  </si>
  <si>
    <t>TOTALE</t>
  </si>
  <si>
    <t>A.1.</t>
  </si>
  <si>
    <t>Segretariato sociale</t>
  </si>
  <si>
    <t>A.2.</t>
  </si>
  <si>
    <t>Servizio sociale professionale</t>
  </si>
  <si>
    <t>A.3.</t>
  </si>
  <si>
    <t>Centri antiviolenza</t>
  </si>
  <si>
    <t>B.1.</t>
  </si>
  <si>
    <t>Integrazioni al reddito</t>
  </si>
  <si>
    <t>B.2.</t>
  </si>
  <si>
    <t>Sostegno socio-educativo territoriale o domiciliare</t>
  </si>
  <si>
    <t>B.3.</t>
  </si>
  <si>
    <t>Sostegno socio-educativo scolastico</t>
  </si>
  <si>
    <t>B.4.</t>
  </si>
  <si>
    <t>Supporto alle famiglie e alle reti familiari</t>
  </si>
  <si>
    <t>B.5.</t>
  </si>
  <si>
    <t>Attività di mediazione</t>
  </si>
  <si>
    <t>B.6.</t>
  </si>
  <si>
    <t>Sostegno all'inserimento lavorativo</t>
  </si>
  <si>
    <t>B.7.</t>
  </si>
  <si>
    <t>Pronto intervento sociale e Interventi per le povertà estreme</t>
  </si>
  <si>
    <t>B.8.</t>
  </si>
  <si>
    <t xml:space="preserve">Altri interventi per l'integrazione e l'inclusione sociale </t>
  </si>
  <si>
    <t>C.1.</t>
  </si>
  <si>
    <t>Assistenza domiciliare socio-assistenziale</t>
  </si>
  <si>
    <t>C.2.</t>
  </si>
  <si>
    <t>Assistenza domiciliare Integrata con servizi sanitari</t>
  </si>
  <si>
    <t>C.3.</t>
  </si>
  <si>
    <t>Altri interventi per la domiciliarità</t>
  </si>
  <si>
    <t>C.4.</t>
  </si>
  <si>
    <t>Trasporto sociale</t>
  </si>
  <si>
    <t>D.1.</t>
  </si>
  <si>
    <t>Centri con funzione socio-educativa-ricreativa</t>
  </si>
  <si>
    <t>D.2.</t>
  </si>
  <si>
    <t>Centri con funzione socio-assistenziale</t>
  </si>
  <si>
    <t>D.3.</t>
  </si>
  <si>
    <t>Centri e attività a carattere socio-sanitario</t>
  </si>
  <si>
    <t>D.4.</t>
  </si>
  <si>
    <t xml:space="preserve">Centri servizi per povertà estrema </t>
  </si>
  <si>
    <t>D.5.</t>
  </si>
  <si>
    <t>Integrazione retta/voucher per centri diurni</t>
  </si>
  <si>
    <t>E.1.</t>
  </si>
  <si>
    <t xml:space="preserve">Alloggi per accoglienza di emergenza </t>
  </si>
  <si>
    <t>E.2.</t>
  </si>
  <si>
    <t>Alloggi protetti</t>
  </si>
  <si>
    <t>E.3.</t>
  </si>
  <si>
    <t>Strutture per minori a carattere familiare</t>
  </si>
  <si>
    <t>E.4.</t>
  </si>
  <si>
    <t>Strutture comunitarie a carattere socio-assistenziale</t>
  </si>
  <si>
    <t>E.5.</t>
  </si>
  <si>
    <t>Strutture comunitarie a carattere socio-sanitario</t>
  </si>
  <si>
    <t>E.6.</t>
  </si>
  <si>
    <t>E.7.</t>
  </si>
  <si>
    <t>Servizi per Aree attrezzate di sosta per comuità rom, sinti e caminanti</t>
  </si>
  <si>
    <t>E.8.</t>
  </si>
  <si>
    <t>Integrazione retta/voucher per strutture residenziali</t>
  </si>
  <si>
    <t>F.1</t>
  </si>
  <si>
    <t>Potenziamento professioni sociali</t>
  </si>
  <si>
    <t>F.2</t>
  </si>
  <si>
    <t>Progetti di Vita Indipendente e per il "dopo di noi"</t>
  </si>
  <si>
    <t>F.3</t>
  </si>
  <si>
    <t>F.4</t>
  </si>
  <si>
    <t>Servizi sociali per la prima infanzia (asili nido e innovativi)</t>
  </si>
  <si>
    <t>F.5</t>
  </si>
  <si>
    <t>Centri per maschi maltrattanti (CAM)</t>
  </si>
  <si>
    <t>F.6</t>
  </si>
  <si>
    <t>Interventi conciliazione vita-lavoro</t>
  </si>
  <si>
    <t>F.7</t>
  </si>
  <si>
    <t>Interventi di inclusione per LGBTI</t>
  </si>
  <si>
    <t>T</t>
  </si>
  <si>
    <t>Ufficio di Piano, sistemi informativi e azioni di monitoraggio e valutazione della qualità</t>
  </si>
  <si>
    <t>SCHEDA B - ULTERIORI SERVIZI DEL PDZ A VALENZA COMUNALE</t>
  </si>
  <si>
    <t>SCHEDA C - ULTERIORI SERVIZI DEL PDZ ATTIVATI CON ALTRE RISORSE</t>
  </si>
  <si>
    <t>PNRR</t>
  </si>
  <si>
    <t>ALT.1</t>
  </si>
  <si>
    <t>ALT.2</t>
  </si>
  <si>
    <t>ALT.3</t>
  </si>
  <si>
    <t>ALT.4</t>
  </si>
  <si>
    <t>ALT.5</t>
  </si>
  <si>
    <t>FNPS 2021 (PDZ 2022)</t>
  </si>
  <si>
    <t>FNPS 2022 (PDZ 2023)</t>
  </si>
  <si>
    <t>FNPS 2023 (PDZ 2024)</t>
  </si>
  <si>
    <t>Area 1</t>
  </si>
  <si>
    <t>Area 2</t>
  </si>
  <si>
    <t>Area 3</t>
  </si>
  <si>
    <t>Persone con disabilità</t>
  </si>
  <si>
    <t>Famiglie e Minori</t>
  </si>
  <si>
    <t>Povertà</t>
  </si>
  <si>
    <t>Scheda di dettaglio relativa alla progrmmazione delle risorse del Fondo Nazionale delle Politiche Sociali (FNPS)</t>
  </si>
  <si>
    <t>Annualità PDZ</t>
  </si>
  <si>
    <t>BUDGET DISPONIBILE</t>
  </si>
  <si>
    <t>-</t>
  </si>
  <si>
    <t xml:space="preserve">Ambito </t>
  </si>
  <si>
    <t>Comunale</t>
  </si>
  <si>
    <t>Più comuni</t>
  </si>
  <si>
    <t>Più Ambiti</t>
  </si>
  <si>
    <t>TOTALE BUDGET</t>
  </si>
  <si>
    <t>FGSA 2022</t>
  </si>
  <si>
    <t>FGSA 2023</t>
  </si>
  <si>
    <t>FGSA 2024</t>
  </si>
  <si>
    <t>RISORSE COMUNALI 2022</t>
  </si>
  <si>
    <t>RISORSE COMUNALI 2023</t>
  </si>
  <si>
    <t>RISORSE COMUNALI 2024</t>
  </si>
  <si>
    <t>FNPS 2021 (programmazione dal 2022)</t>
  </si>
  <si>
    <t>FNPS 2022 (programmazione dal 2023)</t>
  </si>
  <si>
    <t>FNPS 2023 (programmazione dal 2024)</t>
  </si>
  <si>
    <t>FNA 2021 (programmazione dal 2022)</t>
  </si>
  <si>
    <t>FNA 2022 (programmazione dal 2023)</t>
  </si>
  <si>
    <t>FNA 2023 (programmazione dal 2024)</t>
  </si>
  <si>
    <t>FPOV 2021 (programmazione dal 2022)</t>
  </si>
  <si>
    <t>FPOV 2022 (programmazione dal 2023)</t>
  </si>
  <si>
    <t>FPOV 2023 (programmazione dal 2024)</t>
  </si>
  <si>
    <t>FONTE DI FINANZIAMENTO</t>
  </si>
  <si>
    <t>Anziani autosuff.</t>
  </si>
  <si>
    <t>Anziani non autosuff.</t>
  </si>
  <si>
    <t>Disagio adulti (dip., sal. ment., ecc.)</t>
  </si>
  <si>
    <t>TOT</t>
  </si>
  <si>
    <t>TOTALE DELLE RISORSE PROGRAMMATE</t>
  </si>
  <si>
    <t>TOTALE RISORSE PROGRAMMATE</t>
  </si>
  <si>
    <t>RISORSE DISPONIBILI DERIVANTI DAL PRECEDENTE CICLO DI PROGRAMMAZIONE (PDZ 2018-2021)</t>
  </si>
  <si>
    <t>RISORSE DISPONIBILI (PDZ 18-21)</t>
  </si>
  <si>
    <t>Modalità di gestione</t>
  </si>
  <si>
    <t>1 - Diretta
2 - Affidamento a terzi
3 - Altro
4 - Forma mista</t>
  </si>
  <si>
    <t>Comune di __________________</t>
  </si>
  <si>
    <t>Servizi sociali per la prima infanzia (asili nido e innovativi)(ex sch. 1 asili nido)</t>
  </si>
  <si>
    <t>Sostegno socio-educativo territoriale o domiciliare(ex sch. 3 ade)</t>
  </si>
  <si>
    <t>Supporto alle famiglie e alle reti familiari(ex sch. 2 centro ascolto)(ex sch. 4 affido e adozione)</t>
  </si>
  <si>
    <t>Assistenza domiciliare socio-assistenziale(ex sch. 10 sad)</t>
  </si>
  <si>
    <t>Assistenza domiciliare Integrata con servizi sanitari(ex. sch. 10 adi)</t>
  </si>
  <si>
    <t>Progetti di Vita Indipendente e per il "dopo di noi"(ex sch. 11 provi dopo di noi)</t>
  </si>
  <si>
    <t>Sostegno socio-educativo scolastico(ex sch.13 int.scol)</t>
  </si>
  <si>
    <t>Centri antiviolenza(ex sch 14 cav, sch.16 equipe)</t>
  </si>
  <si>
    <t>Alloggi per accoglienza di emergenza (ex sch. 15 case rifugio)</t>
  </si>
  <si>
    <t>Potenziamento professioni sociali (ex sch. 24 formazione personale)</t>
  </si>
  <si>
    <t>ALTRO ( AVVISO 1/2021 PrInS- PON INCLUSIONE REACT-EU-FSE 2014-2020)</t>
  </si>
  <si>
    <t>Attività di mediazione (solo per rdc)</t>
  </si>
  <si>
    <t>Altri interventi per l'integrazione e l'inclusione sociale (ex sch. 18 dipen. Patologiche)(ex sch 20 barr.arch)</t>
  </si>
  <si>
    <t>Interventi conciliazione vita-lavoro (BUONI SERVIZIO INFANZIA)</t>
  </si>
  <si>
    <t>Servizio sociale professionale(ex sch. 9 presa in carico socio sanitaria)(supervisione ssp)</t>
  </si>
  <si>
    <t>Sostegno all'inserimento lavorativo(ex. Sch. 7 perc. Di incl. Lav. Puc e tirocini)( corsi form rdc)BENEFICIARI RDC</t>
  </si>
  <si>
    <t>Strutture per minori a carattere familiare (careleavers)</t>
  </si>
  <si>
    <t>BUONI SERVIZIO MIN a.e. 2021/2022</t>
  </si>
  <si>
    <t>Integrazione retta/voucher per centri diurni (voucher art. 52)</t>
  </si>
  <si>
    <t>Centri con funzione socio-educativa-ricreativa(ex sch. 12 centri diurni anz.dis art. 105,art. 106 cap  )</t>
  </si>
  <si>
    <t>Centri con funzione socio-assistenziale(ex sch. 5 serv. Ciclo diurno minori)</t>
  </si>
  <si>
    <t>Trasporto sociale( ex. Sch 23 )</t>
  </si>
  <si>
    <t>Integrazioni al reddito (ex sch 23 tiroc. Per vittime di vio)  (PRESA IN CARICO SOCIO-LAVORATIVA PATTO DI INCLUSIONE RED E DONNE VITTIME DI VIOLENZA)(ex schede 25, 26, 27, 28 ,29 ,30 )</t>
  </si>
  <si>
    <t>x</t>
  </si>
  <si>
    <t>TOT. A+C</t>
  </si>
  <si>
    <t>Piano regionale Politiche Familiari D.G.R. 220/2020</t>
  </si>
  <si>
    <t>Fondo Regionale Progetto "Dalla loro parte"</t>
  </si>
  <si>
    <t>FNMSNA</t>
  </si>
  <si>
    <t>Altri interventi per la domiciliarità( dimissioni protette) (pasti caldi)</t>
  </si>
  <si>
    <t>Segretariato sociale(ex sch. 8 rete welfare d'accesso) (ex sch. 8 sportello immigrati) Sportelli sociali tematici</t>
  </si>
  <si>
    <t>spesa storica media</t>
  </si>
  <si>
    <t>Integrazione retta/voucher per strutture residenziali (RETTE MINORI IN STRUTTURA EX SCHEDA 19)</t>
  </si>
  <si>
    <t>Pronto intervento sociale e Interventi per le povertà estreme (Housing First)</t>
  </si>
  <si>
    <t>FONDI ILVA</t>
  </si>
  <si>
    <t>FONDO POVERTA' ESTREMA 2021</t>
  </si>
  <si>
    <t xml:space="preserve">Centri e attività a carattere socio-sanitario ( ex sch. 12 rsa ex art.67, art 60) </t>
  </si>
  <si>
    <t>Pronto intervento sociale e Interventi per le povertà estreme(ex. Sch. 6 pis)(CENTRO ACCOGLIENZA A BASSA SOGLIA PER DIPENDENZE PATOLOGICHE)</t>
  </si>
  <si>
    <t>BUONI SERVIZIO ANZ VII ANN</t>
  </si>
  <si>
    <t xml:space="preserve">Alloggi protetti(ex sch. 22 disagio spichico) </t>
  </si>
  <si>
    <t xml:space="preserve">Strutture comunitarie a carattere socio-sanitario(ex sch 21 altre str. Per dis e anz) case per la vita(alloggi per persone con problemi di salute mentale) </t>
  </si>
  <si>
    <t>BUONI SERVIZIO MIN. ANNUALITA' PONTE 2022/2023</t>
  </si>
  <si>
    <t>Interventi conciliazione vita-lavoro ( buoni servizio infanzia art. 52)</t>
  </si>
  <si>
    <t xml:space="preserve">Integrazione retta/voucher per centri diurni </t>
  </si>
  <si>
    <t xml:space="preserve">L.R. n. 10/2021 Accesso all'Istituto di Amministratori di sostegno dei soggetti fragili </t>
  </si>
  <si>
    <t>A.D.977/2022 COFINANZIAMENTO REGIONALE ALLA TERZA ANNUALITA' CARELEAVER PRIMA SPERIMENTAZIONE</t>
  </si>
  <si>
    <t xml:space="preserve"> A.D. 968/2022 F.DO POVERTA' TERZA ANNUALITA' CARELEAVER PRIMA SPERIMENTAZIONE</t>
  </si>
  <si>
    <t xml:space="preserve">Contributi digital divide (L.R. 32/2021) </t>
  </si>
  <si>
    <t>CENTRI ESTIVI ED INVERNALI D.L. 73 DEL 21/06/2022</t>
  </si>
  <si>
    <t>L.R. 431/98</t>
  </si>
  <si>
    <r>
      <t>Strutture</t>
    </r>
    <r>
      <rPr>
        <sz val="12"/>
        <color rgb="FFCE181E"/>
        <rFont val="Calibri"/>
        <family val="2"/>
      </rPr>
      <t xml:space="preserve"> </t>
    </r>
    <r>
      <rPr>
        <sz val="12"/>
        <rFont val="Calibri"/>
        <family val="2"/>
      </rPr>
      <t>di accoglienza notturna per povertà estrema</t>
    </r>
  </si>
  <si>
    <r>
      <t xml:space="preserve">Progetti sperimentali per il sostegno alla figura del </t>
    </r>
    <r>
      <rPr>
        <i/>
        <sz val="12"/>
        <rFont val="Calibri"/>
        <family val="2"/>
      </rPr>
      <t>"care-giver"</t>
    </r>
    <r>
      <rPr>
        <sz val="12"/>
        <rFont val="Calibri"/>
        <family val="2"/>
      </rPr>
      <t xml:space="preserve"> familiare</t>
    </r>
  </si>
  <si>
    <r>
      <t>Strutture</t>
    </r>
    <r>
      <rPr>
        <sz val="12"/>
        <color rgb="FFCE181E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>di accoglienza notturna per povertà estrema</t>
    </r>
  </si>
  <si>
    <r>
      <t xml:space="preserve">Progetti sperimentali per il sostegno alla figura del </t>
    </r>
    <r>
      <rPr>
        <i/>
        <sz val="12"/>
        <rFont val="Calibri"/>
        <family val="2"/>
      </rPr>
      <t>"care-giver"</t>
    </r>
    <r>
      <rPr>
        <sz val="12"/>
        <rFont val="Calibri"/>
        <family val="2"/>
        <charset val="1"/>
      </rPr>
      <t xml:space="preserve"> familiare</t>
    </r>
  </si>
  <si>
    <r>
      <t xml:space="preserve">ALTRE RISORSE (AGGIUNTIVE RISPETTO A "BUDGET ORDINARIO" PDZ) - </t>
    </r>
    <r>
      <rPr>
        <b/>
        <i/>
        <sz val="12"/>
        <rFont val="Calibri"/>
        <family val="2"/>
        <scheme val="minor"/>
      </rPr>
      <t>DETTAGLIO IN SCHEDA "C"</t>
    </r>
  </si>
  <si>
    <t>FONDO POVERTA' ESTREMA 2022</t>
  </si>
  <si>
    <t>FDO PER IL SOSTEGNO DEL RUOLO DI CURA E ASSISTENZA AL CAREGIVER PER L'ANNO 2022 (DEL.G.R. 231/2023 AD N 1434 DEL 03/08/2023</t>
  </si>
  <si>
    <t>ALTRO (RISORSE REGIONALI DESTINATE AI CARE-GIVERS) FDO PER IL SOSTEGNO DEL RUOLO DI CURA E ASSISTENZA AL CAREGIVER PER GLI ANNI 2018-2019-2020-2021</t>
  </si>
  <si>
    <t>PROVI
DOPO  DI NOI 2022</t>
  </si>
  <si>
    <t>PROVI DOPO DI NOI 2023</t>
  </si>
  <si>
    <t>FDO PER LA PREVENZIONE E CONTRASTO ALLA VIOLENZA DI GENERE (L.R. N 29/20214)</t>
  </si>
  <si>
    <t>FNIA 2022</t>
  </si>
  <si>
    <t>FNIA 2023</t>
  </si>
  <si>
    <t>Fondo per l'assistenza all'autonomia e alla comunicazionedegli alunni con disabilità 2022</t>
  </si>
  <si>
    <t>Fondo per l'assistenza all'autonomia e alla comunicazionedegli alunni con disabilità 2023</t>
  </si>
  <si>
    <t>FDO DESTINATO AI COMUNI PER LE ATTIVITA' SOCIO-EDUCATIVE A FAVORE DEI MINORI (DECRETO MIN. 24/07/2023) 2023</t>
  </si>
  <si>
    <t xml:space="preserve">CONTRIBUTO REGIONALE AI COMUNI ABBATTIMENTO BARRIERE ARCHITETTONICHE NELLE ABITAZIONI PRIVATE (AD 104 DEL 23/03/2023) </t>
  </si>
  <si>
    <t>BUONI SERVIZIO ANZIANI E DISABILI 2023/2024</t>
  </si>
  <si>
    <t>PNSCIA PAC ANZIANI 2023</t>
  </si>
  <si>
    <t>FDO PER L'INCLUSIONE SOCIALE DELLE PERSONE CON DISABILITA'- AUTISMO- (DPCM 29/07/2022 DGR 1918/2022 AD 1059 DEL 06/06/2023)</t>
  </si>
  <si>
    <t>PATTO DI CURA 2023/24 (DEL.G.R. N 636/2023 E 722/2023 - AD 1040 DEL 01/6/2023)</t>
  </si>
  <si>
    <t>SOSTEGNO FAMILIARE- FNA 2022/2024 FRA 2023/2024 (DEL. G.R. N 634 DEL 08/05/2023- AD 1700 DEL 16/10/2023)</t>
  </si>
  <si>
    <t>GENERE IN COMUNE (DGR N 1769 DEL 30/11/2022)</t>
  </si>
  <si>
    <t>ALT.6</t>
  </si>
  <si>
    <r>
      <t xml:space="preserve">Altri interventi </t>
    </r>
    <r>
      <rPr>
        <i/>
        <sz val="12"/>
        <rFont val="Calibri"/>
        <family val="2"/>
      </rPr>
      <t>(,,,)</t>
    </r>
  </si>
  <si>
    <r>
      <t xml:space="preserve">Altri interventi </t>
    </r>
    <r>
      <rPr>
        <i/>
        <sz val="12"/>
        <rFont val="Calibri"/>
        <family val="2"/>
      </rPr>
      <t>(GENERE IN COMUNE)</t>
    </r>
  </si>
  <si>
    <t>FAMI 2014-2020 LGNET</t>
  </si>
  <si>
    <t>TOTALE C</t>
  </si>
  <si>
    <t>FDO NAZIONALE PER L'ACCOGLIENZA DEI MINORI STRANIERI NON ACCOMPAGNATI 2023 FNMSNA 2023 A.D. 1270 DEL 07/12/2023</t>
  </si>
  <si>
    <r>
      <t xml:space="preserve">R E G I O N E     P U G L I A
DIPARTIMENTO WELFARE
</t>
    </r>
    <r>
      <rPr>
        <b/>
        <sz val="12"/>
        <color indexed="10"/>
        <rFont val="Calibri"/>
        <family val="2"/>
        <scheme val="minor"/>
      </rPr>
      <t xml:space="preserve">Piano Sociale di Zona - 2022/2024  integrato da Piano di azione locale per i servizi di contrasto alla povertà (ex D.Lgs. 147/2017)
</t>
    </r>
    <r>
      <rPr>
        <b/>
        <sz val="20"/>
        <color rgb="FFFF0000"/>
        <rFont val="Calibri"/>
        <family val="2"/>
        <scheme val="minor"/>
      </rPr>
      <t>RIPROGRAMMAZIONE 2023</t>
    </r>
    <r>
      <rPr>
        <b/>
        <sz val="12"/>
        <color indexed="10"/>
        <rFont val="Calibri"/>
        <family val="2"/>
        <scheme val="minor"/>
      </rPr>
      <t xml:space="preserve">
</t>
    </r>
    <r>
      <rPr>
        <b/>
        <i/>
        <sz val="12"/>
        <color rgb="FF0070C0"/>
        <rFont val="Calibri"/>
        <family val="2"/>
        <scheme val="minor"/>
      </rPr>
      <t>BUDGET DEL PIANO DI ZONA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</si>
</sst>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€-410]\ #,##0.00"/>
  </numFmts>
  <fonts count="3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CE181E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rgb="FFCE181E"/>
      <name val="Calibri"/>
      <family val="2"/>
      <charset val="1"/>
    </font>
    <font>
      <sz val="12"/>
      <color indexed="8"/>
      <name val="Arial Narrow"/>
      <family val="2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sz val="12"/>
      <color rgb="FFFF0000"/>
      <name val="Calibri"/>
      <family val="2"/>
      <charset val="1"/>
    </font>
    <font>
      <b/>
      <sz val="12"/>
      <color indexed="1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20"/>
      <color rgb="FFFF0000"/>
      <name val="Calibri"/>
      <family val="2"/>
      <scheme val="minor"/>
    </font>
    <font>
      <b/>
      <sz val="16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EBEBEB"/>
      </patternFill>
    </fill>
    <fill>
      <patternFill patternType="solid">
        <fgColor theme="8" tint="0.59999389629810485"/>
        <bgColor rgb="FFEBEBEB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rgb="FFEBEBE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9" tint="0.59999389629810485"/>
        <bgColor rgb="FFEBEBEB"/>
      </patternFill>
    </fill>
    <fill>
      <patternFill patternType="solid">
        <fgColor rgb="FFFFFFA3"/>
        <bgColor rgb="FFEBEBEB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9" fontId="1" fillId="0" borderId="0" applyBorder="0" applyProtection="0"/>
    <xf numFmtId="0" fontId="3" fillId="0" borderId="0"/>
    <xf numFmtId="44" fontId="6" fillId="0" borderId="0" applyFont="0" applyFill="0" applyBorder="0" applyAlignment="0" applyProtection="0"/>
    <xf numFmtId="0" fontId="6" fillId="14" borderId="0" applyNumberFormat="0" applyBorder="0" applyAlignment="0" applyProtection="0"/>
  </cellStyleXfs>
  <cellXfs count="185">
    <xf numFmtId="0" fontId="0" fillId="0" borderId="0" xfId="0"/>
    <xf numFmtId="0" fontId="4" fillId="0" borderId="0" xfId="4" applyFont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justify" vertical="center" wrapText="1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4" fillId="7" borderId="0" xfId="4" applyFont="1" applyFill="1" applyAlignment="1" applyProtection="1">
      <alignment vertical="center"/>
      <protection hidden="1"/>
    </xf>
    <xf numFmtId="44" fontId="7" fillId="0" borderId="1" xfId="5" applyFont="1" applyFill="1" applyBorder="1" applyAlignment="1">
      <alignment horizontal="center" vertical="center"/>
    </xf>
    <xf numFmtId="44" fontId="7" fillId="0" borderId="1" xfId="5" applyFont="1" applyFill="1" applyBorder="1" applyAlignment="1">
      <alignment vertical="center"/>
    </xf>
    <xf numFmtId="44" fontId="8" fillId="0" borderId="1" xfId="5" applyFont="1" applyFill="1" applyBorder="1" applyAlignment="1">
      <alignment horizontal="center" vertical="center"/>
    </xf>
    <xf numFmtId="0" fontId="5" fillId="10" borderId="21" xfId="4" applyFont="1" applyFill="1" applyBorder="1" applyAlignment="1" applyProtection="1">
      <alignment horizontal="center" vertical="center" wrapText="1"/>
      <protection hidden="1"/>
    </xf>
    <xf numFmtId="0" fontId="10" fillId="0" borderId="0" xfId="0" applyFont="1"/>
    <xf numFmtId="0" fontId="11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4" fontId="14" fillId="0" borderId="1" xfId="5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12" borderId="1" xfId="2" applyFont="1" applyFill="1" applyBorder="1" applyAlignment="1">
      <alignment vertical="center" wrapText="1"/>
    </xf>
    <xf numFmtId="44" fontId="16" fillId="10" borderId="1" xfId="5" applyFont="1" applyFill="1" applyBorder="1"/>
    <xf numFmtId="44" fontId="10" fillId="0" borderId="0" xfId="0" applyNumberFormat="1" applyFont="1"/>
    <xf numFmtId="0" fontId="9" fillId="0" borderId="0" xfId="1" applyFont="1" applyAlignment="1">
      <alignment horizontal="center" vertical="center" wrapText="1"/>
    </xf>
    <xf numFmtId="0" fontId="12" fillId="11" borderId="1" xfId="2" applyFont="1" applyFill="1" applyBorder="1" applyAlignment="1">
      <alignment horizontal="center" vertical="center" wrapText="1"/>
    </xf>
    <xf numFmtId="0" fontId="12" fillId="11" borderId="1" xfId="2" applyFont="1" applyFill="1" applyBorder="1" applyAlignment="1">
      <alignment horizontal="left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10" fillId="0" borderId="1" xfId="0" applyFont="1" applyBorder="1"/>
    <xf numFmtId="0" fontId="14" fillId="0" borderId="1" xfId="2" applyFont="1" applyBorder="1" applyAlignment="1">
      <alignment vertical="center" wrapText="1"/>
    </xf>
    <xf numFmtId="0" fontId="12" fillId="8" borderId="1" xfId="2" applyFont="1" applyFill="1" applyBorder="1" applyAlignment="1">
      <alignment vertical="center" wrapText="1"/>
    </xf>
    <xf numFmtId="0" fontId="14" fillId="8" borderId="13" xfId="2" applyFont="1" applyFill="1" applyBorder="1" applyAlignment="1">
      <alignment horizontal="center" vertical="center" wrapText="1"/>
    </xf>
    <xf numFmtId="44" fontId="10" fillId="8" borderId="1" xfId="5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1" applyFont="1" applyAlignme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23" fillId="0" borderId="1" xfId="6" applyFont="1" applyFill="1" applyBorder="1" applyAlignment="1" applyProtection="1">
      <alignment horizontal="left" wrapText="1"/>
      <protection hidden="1"/>
    </xf>
    <xf numFmtId="0" fontId="7" fillId="0" borderId="12" xfId="2" applyFont="1" applyBorder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12" fillId="4" borderId="1" xfId="2" applyFont="1" applyFill="1" applyBorder="1" applyAlignment="1">
      <alignment vertical="center" wrapText="1"/>
    </xf>
    <xf numFmtId="0" fontId="7" fillId="4" borderId="13" xfId="2" applyFont="1" applyFill="1" applyBorder="1" applyAlignment="1">
      <alignment horizontal="center" vertical="center" wrapText="1"/>
    </xf>
    <xf numFmtId="44" fontId="10" fillId="4" borderId="1" xfId="5" applyFont="1" applyFill="1" applyBorder="1"/>
    <xf numFmtId="0" fontId="24" fillId="0" borderId="0" xfId="0" applyFont="1" applyAlignment="1">
      <alignment vertical="center"/>
    </xf>
    <xf numFmtId="0" fontId="10" fillId="13" borderId="0" xfId="0" applyFont="1" applyFill="1"/>
    <xf numFmtId="0" fontId="20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left" vertical="center" wrapText="1"/>
    </xf>
    <xf numFmtId="0" fontId="25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8" fontId="10" fillId="0" borderId="0" xfId="0" applyNumberFormat="1" applyFont="1"/>
    <xf numFmtId="0" fontId="9" fillId="9" borderId="1" xfId="1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vertical="center" wrapText="1"/>
    </xf>
    <xf numFmtId="44" fontId="7" fillId="9" borderId="1" xfId="5" applyFont="1" applyFill="1" applyBorder="1" applyAlignment="1">
      <alignment vertical="center"/>
    </xf>
    <xf numFmtId="44" fontId="27" fillId="9" borderId="1" xfId="5" applyFont="1" applyFill="1" applyBorder="1" applyAlignment="1">
      <alignment vertical="center"/>
    </xf>
    <xf numFmtId="0" fontId="10" fillId="15" borderId="0" xfId="0" applyFont="1" applyFill="1"/>
    <xf numFmtId="0" fontId="4" fillId="0" borderId="0" xfId="4" applyFont="1" applyAlignment="1" applyProtection="1">
      <alignment vertical="center"/>
      <protection hidden="1"/>
    </xf>
    <xf numFmtId="0" fontId="30" fillId="0" borderId="0" xfId="4" applyFont="1" applyAlignment="1" applyProtection="1">
      <alignment vertical="center" wrapText="1"/>
      <protection hidden="1"/>
    </xf>
    <xf numFmtId="0" fontId="5" fillId="0" borderId="23" xfId="4" applyFont="1" applyBorder="1" applyAlignment="1" applyProtection="1">
      <alignment horizontal="center" vertical="center"/>
      <protection hidden="1"/>
    </xf>
    <xf numFmtId="0" fontId="31" fillId="0" borderId="3" xfId="4" applyFont="1" applyBorder="1" applyAlignment="1" applyProtection="1">
      <alignment horizontal="left" vertical="center"/>
      <protection hidden="1"/>
    </xf>
    <xf numFmtId="164" fontId="5" fillId="0" borderId="24" xfId="4" applyNumberFormat="1" applyFont="1" applyBorder="1" applyAlignment="1" applyProtection="1">
      <alignment horizontal="right" vertical="center"/>
      <protection hidden="1"/>
    </xf>
    <xf numFmtId="0" fontId="5" fillId="0" borderId="25" xfId="4" applyFont="1" applyBorder="1" applyAlignment="1" applyProtection="1">
      <alignment horizontal="center" vertical="center"/>
      <protection hidden="1"/>
    </xf>
    <xf numFmtId="0" fontId="5" fillId="0" borderId="1" xfId="4" applyFont="1" applyBorder="1" applyAlignment="1" applyProtection="1">
      <alignment horizontal="left" vertical="center"/>
      <protection hidden="1"/>
    </xf>
    <xf numFmtId="164" fontId="5" fillId="0" borderId="24" xfId="4" applyNumberFormat="1" applyFont="1" applyBorder="1" applyAlignment="1" applyProtection="1">
      <alignment horizontal="right" vertical="center"/>
      <protection locked="0"/>
    </xf>
    <xf numFmtId="0" fontId="32" fillId="0" borderId="1" xfId="4" applyFont="1" applyBorder="1" applyAlignment="1" applyProtection="1">
      <alignment horizontal="left" vertical="center"/>
      <protection hidden="1"/>
    </xf>
    <xf numFmtId="0" fontId="5" fillId="0" borderId="2" xfId="4" applyFont="1" applyBorder="1" applyAlignment="1" applyProtection="1">
      <alignment horizontal="left" vertical="center"/>
      <protection hidden="1"/>
    </xf>
    <xf numFmtId="164" fontId="31" fillId="0" borderId="24" xfId="4" applyNumberFormat="1" applyFont="1" applyBorder="1" applyAlignment="1" applyProtection="1">
      <alignment horizontal="right" vertical="center"/>
      <protection locked="0"/>
    </xf>
    <xf numFmtId="0" fontId="5" fillId="8" borderId="26" xfId="4" applyFont="1" applyFill="1" applyBorder="1" applyAlignment="1" applyProtection="1">
      <alignment horizontal="center" vertical="center"/>
      <protection hidden="1"/>
    </xf>
    <xf numFmtId="0" fontId="5" fillId="8" borderId="2" xfId="4" applyFont="1" applyFill="1" applyBorder="1" applyAlignment="1" applyProtection="1">
      <alignment horizontal="left" vertical="center"/>
      <protection hidden="1"/>
    </xf>
    <xf numFmtId="164" fontId="5" fillId="8" borderId="27" xfId="4" applyNumberFormat="1" applyFont="1" applyFill="1" applyBorder="1" applyAlignment="1" applyProtection="1">
      <alignment horizontal="right" vertical="center"/>
      <protection locked="0"/>
    </xf>
    <xf numFmtId="0" fontId="5" fillId="10" borderId="20" xfId="4" applyFont="1" applyFill="1" applyBorder="1" applyAlignment="1" applyProtection="1">
      <alignment horizontal="center" vertical="center"/>
      <protection hidden="1"/>
    </xf>
    <xf numFmtId="0" fontId="5" fillId="10" borderId="21" xfId="4" applyFont="1" applyFill="1" applyBorder="1" applyAlignment="1" applyProtection="1">
      <alignment horizontal="left" vertical="center"/>
      <protection hidden="1"/>
    </xf>
    <xf numFmtId="164" fontId="5" fillId="10" borderId="22" xfId="4" applyNumberFormat="1" applyFont="1" applyFill="1" applyBorder="1" applyAlignment="1" applyProtection="1">
      <alignment horizontal="right" vertical="center"/>
      <protection hidden="1"/>
    </xf>
    <xf numFmtId="0" fontId="4" fillId="0" borderId="0" xfId="4" applyFont="1" applyAlignment="1" applyProtection="1">
      <alignment horizontal="center" vertical="center"/>
      <protection hidden="1"/>
    </xf>
    <xf numFmtId="44" fontId="27" fillId="17" borderId="1" xfId="5" applyFont="1" applyFill="1" applyBorder="1" applyAlignment="1">
      <alignment vertical="center"/>
    </xf>
    <xf numFmtId="44" fontId="10" fillId="16" borderId="0" xfId="0" applyNumberFormat="1" applyFont="1" applyFill="1"/>
    <xf numFmtId="0" fontId="10" fillId="0" borderId="13" xfId="0" applyFont="1" applyBorder="1"/>
    <xf numFmtId="0" fontId="14" fillId="18" borderId="1" xfId="2" applyFont="1" applyFill="1" applyBorder="1" applyAlignment="1">
      <alignment vertical="center" wrapText="1"/>
    </xf>
    <xf numFmtId="0" fontId="34" fillId="0" borderId="0" xfId="0" applyFont="1"/>
    <xf numFmtId="44" fontId="34" fillId="0" borderId="0" xfId="0" applyNumberFormat="1" applyFont="1"/>
    <xf numFmtId="44" fontId="14" fillId="8" borderId="1" xfId="5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44" fontId="16" fillId="0" borderId="0" xfId="0" applyNumberFormat="1" applyFont="1"/>
    <xf numFmtId="44" fontId="7" fillId="19" borderId="1" xfId="5" applyFont="1" applyFill="1" applyBorder="1" applyAlignment="1">
      <alignment vertical="center"/>
    </xf>
    <xf numFmtId="0" fontId="35" fillId="0" borderId="1" xfId="1" applyFont="1" applyBorder="1" applyAlignment="1">
      <alignment horizontal="center" vertical="center" wrapText="1"/>
    </xf>
    <xf numFmtId="44" fontId="36" fillId="0" borderId="1" xfId="5" applyFont="1" applyFill="1" applyBorder="1" applyAlignment="1">
      <alignment horizontal="center" vertical="center"/>
    </xf>
    <xf numFmtId="44" fontId="14" fillId="0" borderId="13" xfId="5" applyFont="1" applyFill="1" applyBorder="1" applyAlignment="1">
      <alignment horizontal="center" vertical="center"/>
    </xf>
    <xf numFmtId="44" fontId="10" fillId="0" borderId="1" xfId="0" applyNumberFormat="1" applyFont="1" applyBorder="1"/>
    <xf numFmtId="44" fontId="36" fillId="0" borderId="1" xfId="5" applyFont="1" applyFill="1" applyBorder="1" applyAlignment="1">
      <alignment vertical="center"/>
    </xf>
    <xf numFmtId="44" fontId="17" fillId="0" borderId="1" xfId="5" applyFont="1" applyFill="1" applyBorder="1" applyAlignment="1">
      <alignment horizontal="center" vertical="center"/>
    </xf>
    <xf numFmtId="44" fontId="14" fillId="0" borderId="1" xfId="5" applyFont="1" applyFill="1" applyBorder="1" applyAlignment="1">
      <alignment vertical="center"/>
    </xf>
    <xf numFmtId="44" fontId="7" fillId="0" borderId="1" xfId="2" applyNumberFormat="1" applyFont="1" applyBorder="1" applyAlignment="1">
      <alignment horizontal="center" vertical="center" wrapText="1"/>
    </xf>
    <xf numFmtId="44" fontId="27" fillId="0" borderId="1" xfId="5" applyFont="1" applyFill="1" applyBorder="1" applyAlignment="1">
      <alignment horizontal="center" vertical="center"/>
    </xf>
    <xf numFmtId="44" fontId="8" fillId="0" borderId="1" xfId="5" applyFont="1" applyFill="1" applyBorder="1" applyAlignment="1">
      <alignment vertical="center"/>
    </xf>
    <xf numFmtId="0" fontId="5" fillId="0" borderId="14" xfId="4" applyFont="1" applyBorder="1" applyAlignment="1" applyProtection="1">
      <alignment horizontal="center" vertical="center" wrapText="1"/>
      <protection hidden="1"/>
    </xf>
    <xf numFmtId="0" fontId="5" fillId="0" borderId="15" xfId="4" applyFont="1" applyBorder="1" applyAlignment="1" applyProtection="1">
      <alignment horizontal="center" vertical="center" wrapText="1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horizontal="center" vertical="center" wrapText="1"/>
      <protection hidden="1"/>
    </xf>
    <xf numFmtId="0" fontId="5" fillId="0" borderId="18" xfId="4" applyFont="1" applyBorder="1" applyAlignment="1" applyProtection="1">
      <alignment horizontal="center" vertical="center" wrapText="1"/>
      <protection hidden="1"/>
    </xf>
    <xf numFmtId="0" fontId="5" fillId="0" borderId="19" xfId="4" applyFont="1" applyBorder="1" applyAlignment="1" applyProtection="1">
      <alignment horizontal="center" vertical="center" wrapText="1"/>
      <protection hidden="1"/>
    </xf>
    <xf numFmtId="0" fontId="5" fillId="0" borderId="0" xfId="4" applyFont="1" applyAlignment="1" applyProtection="1">
      <alignment horizontal="center" vertical="center" wrapText="1"/>
      <protection hidden="1"/>
    </xf>
    <xf numFmtId="0" fontId="5" fillId="10" borderId="20" xfId="4" applyFont="1" applyFill="1" applyBorder="1" applyAlignment="1" applyProtection="1">
      <alignment horizontal="center" vertical="center" wrapText="1"/>
      <protection hidden="1"/>
    </xf>
    <xf numFmtId="0" fontId="5" fillId="10" borderId="21" xfId="4" applyFont="1" applyFill="1" applyBorder="1" applyAlignment="1" applyProtection="1">
      <alignment horizontal="center" vertical="center" wrapText="1"/>
      <protection hidden="1"/>
    </xf>
    <xf numFmtId="0" fontId="7" fillId="9" borderId="12" xfId="2" applyFont="1" applyFill="1" applyBorder="1" applyAlignment="1">
      <alignment horizontal="center" vertical="center" wrapText="1"/>
    </xf>
    <xf numFmtId="0" fontId="7" fillId="9" borderId="28" xfId="2" applyFont="1" applyFill="1" applyBorder="1" applyAlignment="1">
      <alignment horizontal="center" vertical="center" wrapText="1"/>
    </xf>
    <xf numFmtId="0" fontId="7" fillId="9" borderId="13" xfId="2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0" fillId="5" borderId="4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 wrapText="1"/>
    </xf>
    <xf numFmtId="0" fontId="20" fillId="5" borderId="7" xfId="2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21" fillId="6" borderId="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28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12" fillId="11" borderId="4" xfId="2" applyFont="1" applyFill="1" applyBorder="1" applyAlignment="1">
      <alignment horizontal="center" vertical="center" wrapText="1"/>
    </xf>
    <xf numFmtId="0" fontId="12" fillId="11" borderId="5" xfId="2" applyFont="1" applyFill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7" xfId="2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11" borderId="1" xfId="2" applyFont="1" applyFill="1" applyBorder="1" applyAlignment="1">
      <alignment horizontal="center" vertical="center" wrapText="1"/>
    </xf>
    <xf numFmtId="0" fontId="14" fillId="8" borderId="1" xfId="2" applyFont="1" applyFill="1" applyBorder="1" applyAlignment="1">
      <alignment horizontal="center" vertical="center" wrapText="1"/>
    </xf>
    <xf numFmtId="0" fontId="38" fillId="10" borderId="31" xfId="1" applyFont="1" applyFill="1" applyBorder="1" applyAlignment="1">
      <alignment horizontal="center" vertical="center" wrapText="1"/>
    </xf>
    <xf numFmtId="0" fontId="38" fillId="10" borderId="0" xfId="1" applyFont="1" applyFill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12" borderId="4" xfId="2" applyFont="1" applyFill="1" applyBorder="1" applyAlignment="1">
      <alignment horizontal="center" vertical="center" wrapText="1"/>
    </xf>
    <xf numFmtId="0" fontId="12" fillId="12" borderId="5" xfId="2" applyFont="1" applyFill="1" applyBorder="1" applyAlignment="1">
      <alignment horizontal="center" vertical="center" wrapText="1"/>
    </xf>
    <xf numFmtId="0" fontId="12" fillId="12" borderId="10" xfId="2" applyFont="1" applyFill="1" applyBorder="1" applyAlignment="1">
      <alignment horizontal="center" vertical="center" wrapText="1"/>
    </xf>
    <xf numFmtId="0" fontId="12" fillId="12" borderId="11" xfId="2" applyFont="1" applyFill="1" applyBorder="1" applyAlignment="1">
      <alignment horizontal="center" vertical="center" wrapText="1"/>
    </xf>
    <xf numFmtId="0" fontId="12" fillId="12" borderId="6" xfId="2" applyFont="1" applyFill="1" applyBorder="1" applyAlignment="1">
      <alignment horizontal="center" vertical="center" wrapText="1"/>
    </xf>
    <xf numFmtId="0" fontId="12" fillId="12" borderId="7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10" borderId="3" xfId="1" applyFont="1" applyFill="1" applyBorder="1" applyAlignment="1">
      <alignment horizontal="center" vertical="center" wrapText="1"/>
    </xf>
  </cellXfs>
  <cellStyles count="7">
    <cellStyle name="40% - Colore4" xfId="6" xr:uid="{00000000-0005-0000-0000-000000000000}"/>
    <cellStyle name="Normale" xfId="0" builtinId="0"/>
    <cellStyle name="Normale 2" xfId="4" xr:uid="{00000000-0005-0000-0000-000002000000}"/>
    <cellStyle name="Normale 2 2" xfId="2" xr:uid="{00000000-0005-0000-0000-000003000000}"/>
    <cellStyle name="Normale 3" xfId="1" xr:uid="{00000000-0005-0000-0000-000004000000}"/>
    <cellStyle name="Percentuale 2" xfId="3" xr:uid="{00000000-0005-0000-0000-000005000000}"/>
    <cellStyle name="Valuta" xfId="5" builtinId="4"/>
  </cellStyles>
  <dxfs count="0"/>
  <tableStyles count="0" defaultTableStyle="TableStyleMedium2" defaultPivotStyle="PivotStyleLight16"/>
  <colors>
    <mruColors>
      <color rgb="FF00FF00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47625</xdr:rowOff>
    </xdr:from>
    <xdr:to>
      <xdr:col>4</xdr:col>
      <xdr:colOff>806450</xdr:colOff>
      <xdr:row>0</xdr:row>
      <xdr:rowOff>47625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403D9594-FE2D-4480-9E36-2E226D791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44891" y="47625"/>
          <a:ext cx="806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programmazione%202023/2023/DANIELA%20AGG.%2030.01.2024/Users/Emanuele%20Universita/Dropbox/condivisa%20EMA2/DB%20monitoraggio%20pdz%2014-16/PDZ/DB%20pro%20fin%20PdZ%202014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44.200\riprogrammazione%202023\2023\DANIELA%20AGG.%2030.01.2024\Users\annamariacandela\Desktop\Dropbox\A%20-%20atti%20e%20normativa%20programmazione%20socio%20sanitaria\Bozza%20Rendicontazione%20PSdZ%20%202016\Scheda%20prg%20finanziaria%20III%20PdZ%20def.xls?8CEFA961" TargetMode="External"/><Relationship Id="rId1" Type="http://schemas.openxmlformats.org/officeDocument/2006/relationships/externalLinkPath" Target="file:///\\8CEFA961\Scheda%20prg%20finanziaria%20III%20PdZ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parti"/>
      <sheetName val="tendine"/>
      <sheetName val="REGIONE"/>
      <sheetName val="CORATO"/>
      <sheetName val="MOLFETTA"/>
      <sheetName val="ALTAMURA"/>
      <sheetName val="GRUMO"/>
      <sheetName val="BARI"/>
      <sheetName val="MODUGNO"/>
      <sheetName val="BITONTO"/>
      <sheetName val="TRIGGIANO"/>
      <sheetName val="MOLA"/>
      <sheetName val="CONVERSANO"/>
      <sheetName val="GIOIA"/>
      <sheetName val="PUTIGNANO"/>
      <sheetName val="PROV BA"/>
      <sheetName val="BRINDISI"/>
      <sheetName val="MESAGNE"/>
      <sheetName val="FRANCAVILLA"/>
      <sheetName val="FASANO"/>
      <sheetName val="PROV BR"/>
      <sheetName val="ANDRIA"/>
      <sheetName val="TRANI"/>
      <sheetName val="BARLETTA"/>
      <sheetName val="CANOSA"/>
      <sheetName val="S.FERDINANDO"/>
      <sheetName val="PROV BT"/>
      <sheetName val="S.SEVERO"/>
      <sheetName val="VICO"/>
      <sheetName val="S.MARCO"/>
      <sheetName val="CERIGNOLA"/>
      <sheetName val="LUCERA"/>
      <sheetName val="TROIA"/>
      <sheetName val="FOGGIA"/>
      <sheetName val="MANFREDONIA"/>
      <sheetName val="PROV FG"/>
      <sheetName val="LECCE"/>
      <sheetName val="CAMPI"/>
      <sheetName val="NARDO"/>
      <sheetName val="MARTANO"/>
      <sheetName val="GALATINA"/>
      <sheetName val="GALLIPOLI"/>
      <sheetName val="MAGLIE"/>
      <sheetName val="POGGIARDO"/>
      <sheetName val="CASARANO"/>
      <sheetName val="GAGLIANO"/>
      <sheetName val="PROV LE"/>
      <sheetName val="GINOSA"/>
      <sheetName val="GROTTAGLIE"/>
      <sheetName val="MANDURIA"/>
      <sheetName val="TARANTO"/>
      <sheetName val="MARTINA"/>
      <sheetName val="MASSAFRA"/>
      <sheetName val="PROV TA"/>
    </sheetNames>
    <sheetDataSet>
      <sheetData sheetId="0"/>
      <sheetData sheetId="1">
        <row r="1">
          <cell r="M1" t="str">
            <v>scegli</v>
          </cell>
        </row>
        <row r="2">
          <cell r="M2">
            <v>3</v>
          </cell>
        </row>
        <row r="3">
          <cell r="M3">
            <v>47</v>
          </cell>
        </row>
        <row r="4">
          <cell r="M4">
            <v>48</v>
          </cell>
        </row>
        <row r="5">
          <cell r="M5">
            <v>49</v>
          </cell>
        </row>
        <row r="6">
          <cell r="M6">
            <v>50</v>
          </cell>
        </row>
        <row r="7">
          <cell r="M7">
            <v>51</v>
          </cell>
        </row>
        <row r="8">
          <cell r="M8">
            <v>52</v>
          </cell>
        </row>
        <row r="9">
          <cell r="M9">
            <v>53</v>
          </cell>
        </row>
        <row r="10">
          <cell r="M10">
            <v>55</v>
          </cell>
        </row>
        <row r="11">
          <cell r="M11">
            <v>56</v>
          </cell>
        </row>
        <row r="12">
          <cell r="M12">
            <v>57</v>
          </cell>
        </row>
        <row r="13">
          <cell r="M13">
            <v>58</v>
          </cell>
        </row>
        <row r="14">
          <cell r="M14">
            <v>59</v>
          </cell>
        </row>
        <row r="15">
          <cell r="M15">
            <v>60</v>
          </cell>
        </row>
        <row r="16">
          <cell r="M16" t="str">
            <v>60-bis</v>
          </cell>
        </row>
        <row r="17">
          <cell r="M17" t="str">
            <v>60-ter</v>
          </cell>
        </row>
        <row r="18">
          <cell r="M18">
            <v>62</v>
          </cell>
        </row>
        <row r="19">
          <cell r="M19">
            <v>63</v>
          </cell>
        </row>
        <row r="20">
          <cell r="M20">
            <v>64</v>
          </cell>
        </row>
        <row r="21">
          <cell r="M21">
            <v>65</v>
          </cell>
        </row>
        <row r="22">
          <cell r="M22">
            <v>66</v>
          </cell>
        </row>
        <row r="23">
          <cell r="M23">
            <v>67</v>
          </cell>
        </row>
        <row r="24">
          <cell r="M24">
            <v>68</v>
          </cell>
        </row>
        <row r="25">
          <cell r="M25">
            <v>70</v>
          </cell>
        </row>
        <row r="26">
          <cell r="M26">
            <v>71</v>
          </cell>
        </row>
        <row r="27">
          <cell r="M27">
            <v>72</v>
          </cell>
        </row>
        <row r="28">
          <cell r="M28">
            <v>74</v>
          </cell>
        </row>
        <row r="29">
          <cell r="M29">
            <v>75</v>
          </cell>
        </row>
        <row r="30">
          <cell r="M30">
            <v>76</v>
          </cell>
        </row>
        <row r="31">
          <cell r="M31">
            <v>77</v>
          </cell>
        </row>
        <row r="32">
          <cell r="M32">
            <v>78</v>
          </cell>
        </row>
        <row r="33">
          <cell r="M33">
            <v>79</v>
          </cell>
        </row>
        <row r="34">
          <cell r="M34">
            <v>80</v>
          </cell>
        </row>
        <row r="35">
          <cell r="M35">
            <v>81</v>
          </cell>
        </row>
        <row r="36">
          <cell r="M36" t="str">
            <v>81-bis</v>
          </cell>
        </row>
        <row r="37">
          <cell r="M37" t="str">
            <v>81-ter</v>
          </cell>
        </row>
        <row r="38">
          <cell r="M38">
            <v>83</v>
          </cell>
        </row>
        <row r="39">
          <cell r="M39">
            <v>84</v>
          </cell>
        </row>
        <row r="40">
          <cell r="M40">
            <v>85</v>
          </cell>
        </row>
        <row r="41">
          <cell r="M41">
            <v>86</v>
          </cell>
        </row>
        <row r="42">
          <cell r="M42">
            <v>87</v>
          </cell>
        </row>
        <row r="43">
          <cell r="M43">
            <v>88</v>
          </cell>
        </row>
        <row r="44">
          <cell r="M44">
            <v>89</v>
          </cell>
        </row>
        <row r="45">
          <cell r="M45">
            <v>90</v>
          </cell>
        </row>
        <row r="46">
          <cell r="M46">
            <v>91</v>
          </cell>
        </row>
        <row r="47">
          <cell r="M47">
            <v>92</v>
          </cell>
        </row>
        <row r="48">
          <cell r="M48">
            <v>93</v>
          </cell>
        </row>
        <row r="49">
          <cell r="M49">
            <v>94</v>
          </cell>
        </row>
        <row r="50">
          <cell r="M50">
            <v>95</v>
          </cell>
        </row>
        <row r="51">
          <cell r="M51">
            <v>96</v>
          </cell>
        </row>
        <row r="52">
          <cell r="M52">
            <v>97</v>
          </cell>
        </row>
        <row r="53">
          <cell r="M53">
            <v>98</v>
          </cell>
        </row>
        <row r="54">
          <cell r="M54">
            <v>99</v>
          </cell>
        </row>
        <row r="55">
          <cell r="M55">
            <v>100</v>
          </cell>
        </row>
        <row r="56">
          <cell r="M56">
            <v>101</v>
          </cell>
        </row>
        <row r="57">
          <cell r="M57">
            <v>102</v>
          </cell>
        </row>
        <row r="58">
          <cell r="M58">
            <v>103</v>
          </cell>
        </row>
        <row r="59">
          <cell r="M59">
            <v>104</v>
          </cell>
        </row>
        <row r="60">
          <cell r="M60">
            <v>105</v>
          </cell>
        </row>
        <row r="61">
          <cell r="M61">
            <v>106</v>
          </cell>
        </row>
        <row r="62">
          <cell r="M62">
            <v>107</v>
          </cell>
        </row>
        <row r="63">
          <cell r="M63">
            <v>108</v>
          </cell>
        </row>
        <row r="64">
          <cell r="M64" t="str">
            <v>altro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parti"/>
      <sheetName val="tendine"/>
      <sheetName val="MONITOR. PDZ 10-13 E RESIDUI"/>
      <sheetName val="BUDGET DISPONIBILE PDZ 3° CICLO"/>
      <sheetName val="PROG FINANZIARIA DI DETTAGLIO"/>
    </sheetNames>
    <sheetDataSet>
      <sheetData sheetId="0"/>
      <sheetData sheetId="1">
        <row r="1">
          <cell r="O1" t="str">
            <v>-</v>
          </cell>
        </row>
        <row r="2">
          <cell r="O2" t="str">
            <v>SI</v>
          </cell>
        </row>
        <row r="3">
          <cell r="O3" t="str">
            <v>NO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4"/>
  <sheetViews>
    <sheetView zoomScale="90" zoomScaleNormal="90" workbookViewId="0">
      <selection activeCell="E14" sqref="E14"/>
    </sheetView>
  </sheetViews>
  <sheetFormatPr defaultColWidth="8.7109375" defaultRowHeight="15.75" x14ac:dyDescent="0.25"/>
  <cols>
    <col min="1" max="2" width="2.140625" style="67" customWidth="1"/>
    <col min="3" max="3" width="13.28515625" style="67" customWidth="1"/>
    <col min="4" max="4" width="131.7109375" style="67" customWidth="1"/>
    <col min="5" max="5" width="22.85546875" style="67" customWidth="1"/>
    <col min="6" max="7" width="2.140625" style="67" customWidth="1"/>
    <col min="8" max="8" width="8.7109375" style="67"/>
    <col min="9" max="9" width="15.5703125" style="67" customWidth="1"/>
    <col min="10" max="10" width="16.5703125" style="67" customWidth="1"/>
    <col min="11" max="11" width="15.7109375" style="67" customWidth="1"/>
    <col min="12" max="16384" width="8.7109375" style="67"/>
  </cols>
  <sheetData>
    <row r="1" spans="1:10" ht="49.5" customHeight="1" x14ac:dyDescent="0.25">
      <c r="A1" s="108" t="s">
        <v>205</v>
      </c>
      <c r="B1" s="109"/>
      <c r="C1" s="109"/>
      <c r="D1" s="109"/>
      <c r="E1" s="109"/>
      <c r="F1" s="109"/>
      <c r="G1" s="110"/>
    </row>
    <row r="2" spans="1:10" ht="84" customHeight="1" thickBot="1" x14ac:dyDescent="0.3">
      <c r="A2" s="111"/>
      <c r="B2" s="112"/>
      <c r="C2" s="112"/>
      <c r="D2" s="112"/>
      <c r="E2" s="112"/>
      <c r="F2" s="112"/>
      <c r="G2" s="113"/>
    </row>
    <row r="3" spans="1:10" ht="13.5" customHeight="1" x14ac:dyDescent="0.25">
      <c r="A3" s="114"/>
      <c r="B3" s="114"/>
      <c r="C3" s="114"/>
      <c r="D3" s="114"/>
    </row>
    <row r="4" spans="1:10" ht="12.75" customHeight="1" thickBot="1" x14ac:dyDescent="0.3">
      <c r="A4" s="1"/>
      <c r="B4" s="1"/>
      <c r="C4" s="1"/>
      <c r="D4" s="1"/>
      <c r="E4" s="68"/>
    </row>
    <row r="5" spans="1:10" ht="60" customHeight="1" thickBot="1" x14ac:dyDescent="0.3">
      <c r="A5" s="1"/>
      <c r="B5" s="1"/>
      <c r="C5" s="115" t="s">
        <v>115</v>
      </c>
      <c r="D5" s="116"/>
      <c r="E5" s="8" t="s">
        <v>93</v>
      </c>
    </row>
    <row r="6" spans="1:10" ht="22.5" customHeight="1" x14ac:dyDescent="0.25">
      <c r="A6" s="2"/>
      <c r="C6" s="69">
        <v>1</v>
      </c>
      <c r="D6" s="70" t="s">
        <v>122</v>
      </c>
      <c r="E6" s="71">
        <f>'scheda A'!G47</f>
        <v>4224887.0500000007</v>
      </c>
    </row>
    <row r="7" spans="1:10" ht="22.5" customHeight="1" x14ac:dyDescent="0.25">
      <c r="A7" s="3"/>
      <c r="C7" s="72">
        <v>2</v>
      </c>
      <c r="D7" s="73" t="s">
        <v>106</v>
      </c>
      <c r="E7" s="74">
        <v>1206231.8999999999</v>
      </c>
    </row>
    <row r="8" spans="1:10" ht="22.5" customHeight="1" x14ac:dyDescent="0.25">
      <c r="A8" s="3"/>
      <c r="C8" s="72">
        <v>3</v>
      </c>
      <c r="D8" s="73" t="s">
        <v>107</v>
      </c>
      <c r="E8" s="74">
        <v>1206231.8999999999</v>
      </c>
    </row>
    <row r="9" spans="1:10" ht="22.5" customHeight="1" x14ac:dyDescent="0.25">
      <c r="A9" s="3"/>
      <c r="C9" s="69">
        <v>4</v>
      </c>
      <c r="D9" s="73" t="s">
        <v>108</v>
      </c>
      <c r="E9" s="74">
        <f>1712724.67/2</f>
        <v>856362.33499999996</v>
      </c>
    </row>
    <row r="10" spans="1:10" ht="22.5" customHeight="1" x14ac:dyDescent="0.25">
      <c r="A10" s="3"/>
      <c r="C10" s="72">
        <v>5</v>
      </c>
      <c r="D10" s="75" t="s">
        <v>109</v>
      </c>
      <c r="E10" s="74">
        <v>564500.15</v>
      </c>
    </row>
    <row r="11" spans="1:10" ht="22.5" customHeight="1" x14ac:dyDescent="0.25">
      <c r="A11" s="3"/>
      <c r="C11" s="72">
        <v>6</v>
      </c>
      <c r="D11" s="75" t="s">
        <v>110</v>
      </c>
      <c r="E11" s="74">
        <v>584500.15</v>
      </c>
      <c r="I11" s="22"/>
      <c r="J11" s="22"/>
    </row>
    <row r="12" spans="1:10" ht="22.5" customHeight="1" x14ac:dyDescent="0.25">
      <c r="A12" s="3"/>
      <c r="C12" s="69">
        <v>7</v>
      </c>
      <c r="D12" s="75" t="s">
        <v>111</v>
      </c>
      <c r="E12" s="74">
        <v>642950.16</v>
      </c>
    </row>
    <row r="13" spans="1:10" ht="22.5" customHeight="1" x14ac:dyDescent="0.25">
      <c r="A13" s="3"/>
      <c r="C13" s="72">
        <v>8</v>
      </c>
      <c r="D13" s="73" t="s">
        <v>112</v>
      </c>
      <c r="E13" s="74">
        <f>3399664.7+34983.75</f>
        <v>3434648.45</v>
      </c>
    </row>
    <row r="14" spans="1:10" ht="22.5" customHeight="1" x14ac:dyDescent="0.25">
      <c r="A14" s="3"/>
      <c r="C14" s="72">
        <v>9</v>
      </c>
      <c r="D14" s="73" t="s">
        <v>113</v>
      </c>
      <c r="E14" s="74">
        <v>3085974.58</v>
      </c>
    </row>
    <row r="15" spans="1:10" ht="22.5" customHeight="1" x14ac:dyDescent="0.25">
      <c r="A15" s="3"/>
      <c r="C15" s="69">
        <v>10</v>
      </c>
      <c r="D15" s="73" t="s">
        <v>114</v>
      </c>
      <c r="E15" s="74">
        <v>0</v>
      </c>
    </row>
    <row r="16" spans="1:10" ht="22.5" customHeight="1" x14ac:dyDescent="0.25">
      <c r="A16" s="3"/>
      <c r="C16" s="72">
        <v>11</v>
      </c>
      <c r="D16" s="75" t="s">
        <v>100</v>
      </c>
      <c r="E16" s="74">
        <v>650962.26</v>
      </c>
    </row>
    <row r="17" spans="1:5" ht="22.5" customHeight="1" x14ac:dyDescent="0.25">
      <c r="A17" s="3"/>
      <c r="C17" s="72">
        <v>12</v>
      </c>
      <c r="D17" s="75" t="s">
        <v>101</v>
      </c>
      <c r="E17" s="74">
        <v>650962.26</v>
      </c>
    </row>
    <row r="18" spans="1:5" ht="22.5" customHeight="1" x14ac:dyDescent="0.25">
      <c r="A18" s="3"/>
      <c r="C18" s="69">
        <v>13</v>
      </c>
      <c r="D18" s="75" t="s">
        <v>102</v>
      </c>
      <c r="E18" s="74">
        <f>911347.17/2</f>
        <v>455673.58500000002</v>
      </c>
    </row>
    <row r="19" spans="1:5" ht="22.5" customHeight="1" x14ac:dyDescent="0.25">
      <c r="A19" s="3"/>
      <c r="C19" s="69">
        <v>14</v>
      </c>
      <c r="D19" s="76" t="s">
        <v>103</v>
      </c>
      <c r="E19" s="77">
        <f>'scheda A'!T47</f>
        <v>8799174.3300000001</v>
      </c>
    </row>
    <row r="20" spans="1:5" ht="22.5" customHeight="1" x14ac:dyDescent="0.25">
      <c r="A20" s="3"/>
      <c r="C20" s="69">
        <v>15</v>
      </c>
      <c r="D20" s="76" t="s">
        <v>104</v>
      </c>
      <c r="E20" s="77">
        <f>'scheda A'!U47</f>
        <v>8173875.8700000001</v>
      </c>
    </row>
    <row r="21" spans="1:5" ht="22.5" customHeight="1" x14ac:dyDescent="0.25">
      <c r="A21" s="3"/>
      <c r="C21" s="72">
        <v>16</v>
      </c>
      <c r="D21" s="76" t="s">
        <v>105</v>
      </c>
      <c r="E21" s="77">
        <f>'scheda A'!V47</f>
        <v>9197580.4699999988</v>
      </c>
    </row>
    <row r="22" spans="1:5" ht="22.5" customHeight="1" thickBot="1" x14ac:dyDescent="0.3">
      <c r="A22" s="3"/>
      <c r="C22" s="78">
        <v>17</v>
      </c>
      <c r="D22" s="79" t="s">
        <v>180</v>
      </c>
      <c r="E22" s="80">
        <f>'scheda C'!AQ48</f>
        <v>38199493.939999998</v>
      </c>
    </row>
    <row r="23" spans="1:5" s="4" customFormat="1" ht="23.25" customHeight="1" thickBot="1" x14ac:dyDescent="0.3">
      <c r="C23" s="81" t="s">
        <v>72</v>
      </c>
      <c r="D23" s="82" t="s">
        <v>99</v>
      </c>
      <c r="E23" s="83">
        <f>SUM(E6:E22)</f>
        <v>81934009.390000001</v>
      </c>
    </row>
    <row r="135" spans="4:4" hidden="1" x14ac:dyDescent="0.25"/>
    <row r="136" spans="4:4" hidden="1" x14ac:dyDescent="0.25"/>
    <row r="137" spans="4:4" hidden="1" x14ac:dyDescent="0.25">
      <c r="D137" s="84" t="s">
        <v>94</v>
      </c>
    </row>
    <row r="138" spans="4:4" hidden="1" x14ac:dyDescent="0.25">
      <c r="D138" s="67" t="s">
        <v>95</v>
      </c>
    </row>
    <row r="139" spans="4:4" hidden="1" x14ac:dyDescent="0.25">
      <c r="D139" s="67" t="s">
        <v>96</v>
      </c>
    </row>
    <row r="140" spans="4:4" hidden="1" x14ac:dyDescent="0.25">
      <c r="D140" s="67" t="s">
        <v>97</v>
      </c>
    </row>
    <row r="141" spans="4:4" hidden="1" x14ac:dyDescent="0.25">
      <c r="D141" s="67" t="s">
        <v>98</v>
      </c>
    </row>
    <row r="142" spans="4:4" hidden="1" x14ac:dyDescent="0.25"/>
    <row r="143" spans="4:4" hidden="1" x14ac:dyDescent="0.25"/>
    <row r="144" spans="4:4" hidden="1" x14ac:dyDescent="0.25"/>
  </sheetData>
  <mergeCells count="3">
    <mergeCell ref="A1:G2"/>
    <mergeCell ref="A3:D3"/>
    <mergeCell ref="C5:D5"/>
  </mergeCells>
  <dataValidations count="2">
    <dataValidation allowBlank="1" showErrorMessage="1" sqref="G6:I23" xr:uid="{00000000-0002-0000-0100-000000000000}"/>
    <dataValidation type="decimal" allowBlank="1" showInputMessage="1" showErrorMessage="1" sqref="E6:E23" xr:uid="{00000000-0002-0000-0100-000001000000}">
      <formula1>0</formula1>
      <formula2>1E+27</formula2>
    </dataValidation>
  </dataValidations>
  <printOptions horizontalCentered="1" verticalCentered="1"/>
  <pageMargins left="0.15748031496062992" right="0.15748031496062992" top="0.59055118110236227" bottom="0.59055118110236227" header="0.51181102362204722" footer="0.51181102362204722"/>
  <pageSetup paperSize="8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7"/>
  <sheetViews>
    <sheetView tabSelected="1" topLeftCell="A4" zoomScale="70" zoomScaleNormal="70" zoomScaleSheetLayoutView="70" workbookViewId="0">
      <selection activeCell="AC70" sqref="AC70"/>
    </sheetView>
  </sheetViews>
  <sheetFormatPr defaultColWidth="9.140625" defaultRowHeight="15.75" x14ac:dyDescent="0.25"/>
  <cols>
    <col min="1" max="1" width="8.85546875" style="9" customWidth="1"/>
    <col min="2" max="2" width="59.140625" style="9" customWidth="1"/>
    <col min="3" max="5" width="3.7109375" style="9" customWidth="1"/>
    <col min="6" max="6" width="19.7109375" style="9" customWidth="1"/>
    <col min="7" max="22" width="20.7109375" style="9" customWidth="1"/>
    <col min="23" max="23" width="32" style="9" customWidth="1"/>
    <col min="24" max="26" width="9.140625" style="9"/>
    <col min="27" max="27" width="15.7109375" style="9" bestFit="1" customWidth="1"/>
    <col min="28" max="29" width="9.140625" style="9"/>
    <col min="30" max="30" width="14.5703125" style="9" customWidth="1"/>
    <col min="31" max="16384" width="9.140625" style="9"/>
  </cols>
  <sheetData>
    <row r="1" spans="1:30" ht="34.15" customHeight="1" thickBot="1" x14ac:dyDescent="0.3">
      <c r="A1" s="126" t="s">
        <v>0</v>
      </c>
      <c r="B1" s="127"/>
      <c r="C1" s="23"/>
      <c r="D1" s="23"/>
      <c r="E1" s="23"/>
      <c r="F1" s="23"/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30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30" ht="31.5" x14ac:dyDescent="0.25">
      <c r="A3" s="122" t="s">
        <v>1</v>
      </c>
      <c r="B3" s="123"/>
      <c r="C3" s="128" t="s">
        <v>92</v>
      </c>
      <c r="D3" s="128"/>
      <c r="E3" s="128"/>
      <c r="F3" s="56" t="s">
        <v>124</v>
      </c>
      <c r="G3" s="135" t="s">
        <v>2</v>
      </c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1:30" ht="81.75" customHeight="1" x14ac:dyDescent="0.25">
      <c r="A4" s="124"/>
      <c r="B4" s="125"/>
      <c r="C4" s="56">
        <v>22</v>
      </c>
      <c r="D4" s="56">
        <v>23</v>
      </c>
      <c r="E4" s="56">
        <v>24</v>
      </c>
      <c r="F4" s="57" t="s">
        <v>125</v>
      </c>
      <c r="G4" s="58" t="s">
        <v>123</v>
      </c>
      <c r="H4" s="59" t="s">
        <v>106</v>
      </c>
      <c r="I4" s="59" t="s">
        <v>107</v>
      </c>
      <c r="J4" s="59" t="s">
        <v>108</v>
      </c>
      <c r="K4" s="60" t="s">
        <v>109</v>
      </c>
      <c r="L4" s="60" t="s">
        <v>110</v>
      </c>
      <c r="M4" s="60" t="s">
        <v>111</v>
      </c>
      <c r="N4" s="59" t="s">
        <v>112</v>
      </c>
      <c r="O4" s="59" t="s">
        <v>113</v>
      </c>
      <c r="P4" s="59" t="s">
        <v>114</v>
      </c>
      <c r="Q4" s="60" t="s">
        <v>100</v>
      </c>
      <c r="R4" s="60" t="s">
        <v>101</v>
      </c>
      <c r="S4" s="60" t="s">
        <v>102</v>
      </c>
      <c r="T4" s="59" t="s">
        <v>103</v>
      </c>
      <c r="U4" s="59" t="s">
        <v>104</v>
      </c>
      <c r="V4" s="59" t="s">
        <v>105</v>
      </c>
      <c r="W4" s="59" t="s">
        <v>3</v>
      </c>
    </row>
    <row r="5" spans="1:30" ht="36.950000000000003" customHeight="1" x14ac:dyDescent="0.25">
      <c r="A5" s="40" t="s">
        <v>4</v>
      </c>
      <c r="B5" s="41" t="s">
        <v>156</v>
      </c>
      <c r="C5" s="41" t="s">
        <v>150</v>
      </c>
      <c r="D5" s="41"/>
      <c r="E5" s="41"/>
      <c r="F5" s="42"/>
      <c r="G5" s="5">
        <f>731099.68+69917.9+2510.33</f>
        <v>803527.91</v>
      </c>
      <c r="H5" s="5"/>
      <c r="I5" s="5"/>
      <c r="J5" s="5"/>
      <c r="K5" s="5"/>
      <c r="L5" s="5">
        <v>20000</v>
      </c>
      <c r="M5" s="5">
        <v>22000</v>
      </c>
      <c r="N5" s="5">
        <v>700000</v>
      </c>
      <c r="O5" s="5">
        <v>700000</v>
      </c>
      <c r="P5" s="5"/>
      <c r="Q5" s="5"/>
      <c r="R5" s="5"/>
      <c r="S5" s="5"/>
      <c r="T5" s="5">
        <f>100000</f>
        <v>100000</v>
      </c>
      <c r="U5" s="5">
        <f>100000+150000-150000</f>
        <v>100000</v>
      </c>
      <c r="V5" s="5">
        <f>150000+50000</f>
        <v>200000</v>
      </c>
      <c r="W5" s="5">
        <f>SUM(G5:V5)</f>
        <v>2645527.91</v>
      </c>
    </row>
    <row r="6" spans="1:30" ht="36.950000000000003" customHeight="1" x14ac:dyDescent="0.25">
      <c r="A6" s="40" t="s">
        <v>6</v>
      </c>
      <c r="B6" s="41" t="s">
        <v>141</v>
      </c>
      <c r="C6" s="41" t="s">
        <v>150</v>
      </c>
      <c r="D6" s="41"/>
      <c r="E6" s="41"/>
      <c r="F6" s="42"/>
      <c r="G6" s="5">
        <f>20000+578601-578601+742763</f>
        <v>762763</v>
      </c>
      <c r="H6" s="5">
        <v>40438.730000000003</v>
      </c>
      <c r="I6" s="5">
        <f>80877.45/2</f>
        <v>40438.724999999999</v>
      </c>
      <c r="J6" s="5">
        <f>80877.45/2</f>
        <v>40438.724999999999</v>
      </c>
      <c r="K6" s="5"/>
      <c r="L6" s="5"/>
      <c r="M6" s="5"/>
      <c r="N6" s="5">
        <f>1662629.76+395711.41+141323.53+34983.75</f>
        <v>2234648.4499999997</v>
      </c>
      <c r="O6" s="5">
        <f>O51-O55</f>
        <v>1881909.88</v>
      </c>
      <c r="P6" s="5"/>
      <c r="Q6" s="5"/>
      <c r="R6" s="5"/>
      <c r="S6" s="5"/>
      <c r="T6" s="5">
        <f>1300000-321153.83-978846.17+1007160.54</f>
        <v>1007160.5399999999</v>
      </c>
      <c r="U6" s="5">
        <v>1007160.54</v>
      </c>
      <c r="V6" s="5">
        <f t="shared" ref="V6" si="0">1300000-250952.54-95419.53</f>
        <v>953627.92999999993</v>
      </c>
      <c r="W6" s="5">
        <f t="shared" ref="W6:W46" si="1">SUM(G6:V6)</f>
        <v>7968586.5199999996</v>
      </c>
      <c r="AA6" s="22"/>
    </row>
    <row r="7" spans="1:30" ht="36.950000000000003" customHeight="1" x14ac:dyDescent="0.25">
      <c r="A7" s="42" t="s">
        <v>8</v>
      </c>
      <c r="B7" s="41" t="s">
        <v>134</v>
      </c>
      <c r="C7" s="41" t="s">
        <v>150</v>
      </c>
      <c r="D7" s="41"/>
      <c r="E7" s="41"/>
      <c r="F7" s="42"/>
      <c r="G7" s="5">
        <f>20000+30000+20000-20000-20000</f>
        <v>30000</v>
      </c>
      <c r="H7" s="5">
        <v>20000</v>
      </c>
      <c r="I7" s="5">
        <f>40000/2+51276.05</f>
        <v>71276.05</v>
      </c>
      <c r="J7" s="5">
        <f>40000/2</f>
        <v>20000</v>
      </c>
      <c r="K7" s="5"/>
      <c r="L7" s="5"/>
      <c r="M7" s="5"/>
      <c r="N7" s="5"/>
      <c r="O7" s="5"/>
      <c r="P7" s="5"/>
      <c r="Q7" s="5"/>
      <c r="R7" s="5"/>
      <c r="S7" s="5"/>
      <c r="T7" s="5">
        <f>45000-45000+29702.77</f>
        <v>29702.77</v>
      </c>
      <c r="U7" s="5">
        <v>22117.33</v>
      </c>
      <c r="V7" s="5">
        <v>45000</v>
      </c>
      <c r="W7" s="5">
        <f t="shared" si="1"/>
        <v>238096.14999999997</v>
      </c>
    </row>
    <row r="8" spans="1:30" ht="52.5" customHeight="1" x14ac:dyDescent="0.25">
      <c r="A8" s="40" t="s">
        <v>10</v>
      </c>
      <c r="B8" s="41" t="s">
        <v>149</v>
      </c>
      <c r="C8" s="41" t="s">
        <v>150</v>
      </c>
      <c r="D8" s="41"/>
      <c r="E8" s="41"/>
      <c r="F8" s="4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>300000+160000+17000+10000-17000+16995.21-10000+9398.5</f>
        <v>486393.71</v>
      </c>
      <c r="U8" s="5">
        <v>791000</v>
      </c>
      <c r="V8" s="5">
        <f>300000+400000+200000+17000+10000</f>
        <v>927000</v>
      </c>
      <c r="W8" s="5">
        <f t="shared" si="1"/>
        <v>2204393.71</v>
      </c>
    </row>
    <row r="9" spans="1:30" ht="33" customHeight="1" x14ac:dyDescent="0.25">
      <c r="A9" s="40" t="s">
        <v>12</v>
      </c>
      <c r="B9" s="41" t="s">
        <v>128</v>
      </c>
      <c r="C9" s="41" t="s">
        <v>150</v>
      </c>
      <c r="D9" s="41"/>
      <c r="E9" s="41"/>
      <c r="F9" s="42"/>
      <c r="G9" s="5"/>
      <c r="H9" s="5">
        <f>272527.5+6025</f>
        <v>278552.5</v>
      </c>
      <c r="I9" s="5">
        <v>366618.97</v>
      </c>
      <c r="J9" s="5">
        <v>27886.54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f t="shared" si="1"/>
        <v>673058.01</v>
      </c>
    </row>
    <row r="10" spans="1:30" ht="31.9" customHeight="1" x14ac:dyDescent="0.25">
      <c r="A10" s="40" t="s">
        <v>14</v>
      </c>
      <c r="B10" s="41" t="s">
        <v>133</v>
      </c>
      <c r="C10" s="41" t="s">
        <v>150</v>
      </c>
      <c r="D10" s="41"/>
      <c r="E10" s="41"/>
      <c r="G10" s="105">
        <f>9927.09+10125.9+90694.27-10125.9</f>
        <v>100621.36000000002</v>
      </c>
      <c r="H10" s="5"/>
      <c r="I10" s="6">
        <f>225+5153.63</f>
        <v>5378.63</v>
      </c>
      <c r="J10" s="6">
        <f>1323360.41/2-161680.21+207598.35</f>
        <v>707598.34499999997</v>
      </c>
      <c r="K10" s="5"/>
      <c r="L10" s="5"/>
      <c r="M10" s="5"/>
      <c r="N10" s="5"/>
      <c r="O10" s="5"/>
      <c r="P10" s="5"/>
      <c r="Q10" s="5">
        <v>0</v>
      </c>
      <c r="R10" s="5">
        <v>660</v>
      </c>
      <c r="S10" s="5"/>
      <c r="T10" s="5"/>
      <c r="U10" s="106"/>
      <c r="V10" s="106"/>
      <c r="W10" s="5">
        <f>SUM(G10:V10)</f>
        <v>814258.33499999996</v>
      </c>
      <c r="X10" s="129"/>
      <c r="Y10" s="130"/>
      <c r="Z10" s="130"/>
      <c r="AA10" s="130"/>
      <c r="AB10" s="130"/>
      <c r="AC10" s="130"/>
      <c r="AD10" s="130"/>
    </row>
    <row r="11" spans="1:30" ht="40.5" customHeight="1" x14ac:dyDescent="0.25">
      <c r="A11" s="40" t="s">
        <v>16</v>
      </c>
      <c r="B11" s="41" t="s">
        <v>129</v>
      </c>
      <c r="C11" s="41" t="s">
        <v>150</v>
      </c>
      <c r="D11" s="41"/>
      <c r="E11" s="41"/>
      <c r="G11" s="105">
        <f>75117+90461.86+146610</f>
        <v>312188.86</v>
      </c>
      <c r="H11" s="5">
        <f>134016.4+351155.21</f>
        <v>485171.61</v>
      </c>
      <c r="I11" s="5">
        <v>294836.24</v>
      </c>
      <c r="J11" s="5"/>
      <c r="K11" s="5"/>
      <c r="L11" s="5"/>
      <c r="M11" s="5"/>
      <c r="N11" s="5"/>
      <c r="O11" s="5"/>
      <c r="P11" s="5"/>
      <c r="Q11" s="5"/>
      <c r="R11" s="5">
        <v>195288.68</v>
      </c>
      <c r="S11" s="5"/>
      <c r="T11" s="5"/>
      <c r="U11" s="5"/>
      <c r="V11" s="106"/>
      <c r="W11" s="5">
        <f>SUM(G11:V11)</f>
        <v>1287485.3899999999</v>
      </c>
      <c r="X11" s="131"/>
      <c r="Y11" s="132"/>
      <c r="Z11" s="132"/>
      <c r="AA11" s="132"/>
      <c r="AB11" s="132"/>
      <c r="AC11" s="132"/>
      <c r="AD11" s="132"/>
    </row>
    <row r="12" spans="1:30" ht="40.5" customHeight="1" x14ac:dyDescent="0.25">
      <c r="A12" s="40" t="s">
        <v>18</v>
      </c>
      <c r="B12" s="41" t="s">
        <v>138</v>
      </c>
      <c r="C12" s="41" t="s">
        <v>150</v>
      </c>
      <c r="D12" s="41"/>
      <c r="E12" s="41"/>
      <c r="F12" s="4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>
        <f t="shared" si="1"/>
        <v>0</v>
      </c>
    </row>
    <row r="13" spans="1:30" ht="37.5" customHeight="1" x14ac:dyDescent="0.25">
      <c r="A13" s="42" t="s">
        <v>20</v>
      </c>
      <c r="B13" s="46" t="s">
        <v>142</v>
      </c>
      <c r="C13" s="41" t="s">
        <v>150</v>
      </c>
      <c r="D13" s="46"/>
      <c r="E13" s="46"/>
      <c r="F13" s="42"/>
      <c r="G13" s="5">
        <f>219522.94+395040+221258-221258</f>
        <v>614562.93999999994</v>
      </c>
      <c r="H13" s="5"/>
      <c r="I13" s="5"/>
      <c r="J13" s="5"/>
      <c r="K13" s="5"/>
      <c r="L13" s="5"/>
      <c r="M13" s="5"/>
      <c r="N13" s="5">
        <v>100765.24</v>
      </c>
      <c r="O13" s="5">
        <v>100765.24</v>
      </c>
      <c r="P13" s="5"/>
      <c r="Q13" s="5"/>
      <c r="R13" s="5">
        <v>36010.21</v>
      </c>
      <c r="S13" s="5"/>
      <c r="T13" s="5">
        <f>1000-1000</f>
        <v>0</v>
      </c>
      <c r="U13" s="5">
        <v>5000</v>
      </c>
      <c r="V13" s="5">
        <v>10000</v>
      </c>
      <c r="W13" s="5">
        <f t="shared" si="1"/>
        <v>867103.62999999989</v>
      </c>
    </row>
    <row r="14" spans="1:30" ht="42" customHeight="1" x14ac:dyDescent="0.25">
      <c r="A14" s="40" t="s">
        <v>22</v>
      </c>
      <c r="B14" s="41" t="s">
        <v>163</v>
      </c>
      <c r="C14" s="41" t="s">
        <v>150</v>
      </c>
      <c r="D14" s="41"/>
      <c r="E14" s="41"/>
      <c r="F14" s="42"/>
      <c r="G14" s="5">
        <f>155011+129921.51+155011+25089.49-129921.51+18966.52-155011</f>
        <v>199067.01</v>
      </c>
      <c r="H14" s="5"/>
      <c r="I14" s="5"/>
      <c r="J14" s="5"/>
      <c r="K14" s="5"/>
      <c r="L14" s="5"/>
      <c r="M14" s="5"/>
      <c r="N14" s="5">
        <f>280000+4932.51</f>
        <v>284932.51</v>
      </c>
      <c r="O14" s="5">
        <v>284932.51</v>
      </c>
      <c r="P14" s="5"/>
      <c r="Q14" s="5"/>
      <c r="R14" s="5"/>
      <c r="S14" s="5"/>
      <c r="T14" s="5"/>
      <c r="U14" s="5"/>
      <c r="V14" s="5"/>
      <c r="W14" s="5">
        <f t="shared" si="1"/>
        <v>768932.03</v>
      </c>
    </row>
    <row r="15" spans="1:30" ht="42.75" customHeight="1" x14ac:dyDescent="0.25">
      <c r="A15" s="40" t="s">
        <v>24</v>
      </c>
      <c r="B15" s="41" t="s">
        <v>139</v>
      </c>
      <c r="C15" s="41" t="s">
        <v>150</v>
      </c>
      <c r="D15" s="41"/>
      <c r="E15" s="41"/>
      <c r="F15" s="42"/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0</v>
      </c>
      <c r="R15" s="5"/>
      <c r="S15" s="5"/>
      <c r="T15" s="5">
        <f>70000+960</f>
        <v>70960</v>
      </c>
      <c r="U15" s="5">
        <v>2000</v>
      </c>
      <c r="V15" s="5">
        <f>25000</f>
        <v>25000</v>
      </c>
      <c r="W15" s="5">
        <f t="shared" si="1"/>
        <v>97960</v>
      </c>
    </row>
    <row r="16" spans="1:30" ht="33" customHeight="1" x14ac:dyDescent="0.25">
      <c r="A16" s="40" t="s">
        <v>26</v>
      </c>
      <c r="B16" s="41" t="s">
        <v>130</v>
      </c>
      <c r="C16" s="41" t="s">
        <v>150</v>
      </c>
      <c r="D16" s="41"/>
      <c r="E16" s="41"/>
      <c r="F16" s="42"/>
      <c r="G16" s="5">
        <f>292455.67+165378.69+9442.44+10125.9</f>
        <v>477402.7</v>
      </c>
      <c r="H16" s="5">
        <v>247886.51</v>
      </c>
      <c r="I16" s="5">
        <v>349869.57</v>
      </c>
      <c r="J16" s="5"/>
      <c r="K16" s="5">
        <f>74222.64+22500+389268.25+58769.26</f>
        <v>544760.15</v>
      </c>
      <c r="L16" s="5">
        <f>339000+76947.48</f>
        <v>415947.48</v>
      </c>
      <c r="M16" s="5">
        <f>287542.22+170000</f>
        <v>457542.22</v>
      </c>
      <c r="N16" s="5"/>
      <c r="O16" s="5"/>
      <c r="P16" s="5"/>
      <c r="Q16" s="7">
        <f>216273.67+123227.36-123227.36+110969.19+14445.77</f>
        <v>341688.63000000006</v>
      </c>
      <c r="R16" s="5">
        <f>279162.07+5971.86</f>
        <v>285133.93</v>
      </c>
      <c r="S16" s="5"/>
      <c r="T16" s="5">
        <v>100000</v>
      </c>
      <c r="U16" s="7">
        <f>90000</f>
        <v>90000</v>
      </c>
      <c r="V16" s="7">
        <f>90000</f>
        <v>90000</v>
      </c>
      <c r="W16" s="5">
        <f t="shared" si="1"/>
        <v>3400231.19</v>
      </c>
      <c r="X16" s="129"/>
      <c r="Y16" s="130"/>
      <c r="Z16" s="130"/>
      <c r="AA16" s="130"/>
      <c r="AB16" s="130"/>
      <c r="AC16" s="130"/>
      <c r="AD16" s="130"/>
    </row>
    <row r="17" spans="1:30" ht="33" customHeight="1" x14ac:dyDescent="0.25">
      <c r="A17" s="40" t="s">
        <v>28</v>
      </c>
      <c r="B17" s="41" t="s">
        <v>131</v>
      </c>
      <c r="C17" s="41" t="s">
        <v>150</v>
      </c>
      <c r="D17" s="41"/>
      <c r="E17" s="41"/>
      <c r="G17" s="105">
        <f>147065.53+20230.99+50000+100000-42142.49+11993.27+6309.51</f>
        <v>293456.81000000006</v>
      </c>
      <c r="H17" s="33">
        <v>11771.34</v>
      </c>
      <c r="I17" s="5">
        <v>375</v>
      </c>
      <c r="J17" s="5"/>
      <c r="K17" s="5">
        <f>78509.26-58769.26</f>
        <v>19739.999999999993</v>
      </c>
      <c r="L17" s="5"/>
      <c r="M17" s="5"/>
      <c r="N17" s="5"/>
      <c r="O17" s="5"/>
      <c r="P17" s="5"/>
      <c r="Q17" s="5">
        <v>222368.27</v>
      </c>
      <c r="R17" s="5">
        <v>109511.64</v>
      </c>
      <c r="S17" s="5"/>
      <c r="T17" s="5">
        <v>100000</v>
      </c>
      <c r="U17" s="7">
        <v>200758.67</v>
      </c>
      <c r="V17" s="7">
        <f>50000+100000</f>
        <v>150000</v>
      </c>
      <c r="W17" s="5">
        <f>SUM(G17:V17)</f>
        <v>1107981.73</v>
      </c>
      <c r="X17" s="129"/>
      <c r="Y17" s="130"/>
      <c r="Z17" s="130"/>
      <c r="AA17" s="130"/>
      <c r="AB17" s="130"/>
      <c r="AC17" s="130"/>
      <c r="AD17" s="130"/>
    </row>
    <row r="18" spans="1:30" ht="33" customHeight="1" x14ac:dyDescent="0.25">
      <c r="A18" s="40" t="s">
        <v>30</v>
      </c>
      <c r="B18" s="41" t="s">
        <v>155</v>
      </c>
      <c r="C18" s="41" t="s">
        <v>150</v>
      </c>
      <c r="D18" s="41"/>
      <c r="E18" s="41"/>
      <c r="F18" s="42"/>
      <c r="G18" s="5">
        <v>9922.5</v>
      </c>
      <c r="H18" s="5">
        <v>40438.730000000003</v>
      </c>
      <c r="I18" s="5">
        <f>80877.45/2</f>
        <v>40438.724999999999</v>
      </c>
      <c r="J18" s="5">
        <f>80877.45/2</f>
        <v>40438.724999999999</v>
      </c>
      <c r="K18" s="5"/>
      <c r="N18" s="5"/>
      <c r="O18" s="5"/>
      <c r="P18" s="5"/>
      <c r="Q18" s="5"/>
      <c r="R18" s="5"/>
      <c r="S18" s="5"/>
      <c r="T18" s="5">
        <v>189842.9</v>
      </c>
      <c r="U18" s="7">
        <v>147327.35999999999</v>
      </c>
      <c r="V18" s="7">
        <v>200000</v>
      </c>
      <c r="W18" s="5">
        <f t="shared" si="1"/>
        <v>668408.93999999994</v>
      </c>
    </row>
    <row r="19" spans="1:30" ht="33" customHeight="1" x14ac:dyDescent="0.25">
      <c r="A19" s="42" t="s">
        <v>32</v>
      </c>
      <c r="B19" s="46" t="s">
        <v>148</v>
      </c>
      <c r="C19" s="41" t="s">
        <v>150</v>
      </c>
      <c r="D19" s="46"/>
      <c r="E19" s="46"/>
      <c r="F19" s="4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S19" s="5"/>
      <c r="T19" s="5">
        <v>457091.76</v>
      </c>
      <c r="U19" s="7">
        <v>457091.76</v>
      </c>
      <c r="V19" s="7">
        <f>476000+50000</f>
        <v>526000</v>
      </c>
      <c r="W19" s="5">
        <f t="shared" si="1"/>
        <v>1440183.52</v>
      </c>
      <c r="X19" s="129"/>
      <c r="Y19" s="130"/>
      <c r="Z19" s="130"/>
      <c r="AA19" s="130"/>
      <c r="AB19" s="130"/>
      <c r="AC19" s="130"/>
      <c r="AD19" s="130"/>
    </row>
    <row r="20" spans="1:30" ht="37.5" customHeight="1" x14ac:dyDescent="0.25">
      <c r="A20" s="42" t="s">
        <v>34</v>
      </c>
      <c r="B20" s="46" t="s">
        <v>146</v>
      </c>
      <c r="C20" s="41" t="s">
        <v>150</v>
      </c>
      <c r="D20" s="46"/>
      <c r="E20" s="46"/>
      <c r="F20" s="42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1000</v>
      </c>
      <c r="S20" s="5"/>
      <c r="T20" s="7">
        <f>101400-1452</f>
        <v>99948</v>
      </c>
      <c r="U20" s="7">
        <v>77585</v>
      </c>
      <c r="V20" s="7">
        <v>75000</v>
      </c>
      <c r="W20" s="5">
        <f t="shared" si="1"/>
        <v>253533</v>
      </c>
      <c r="X20" s="133"/>
      <c r="Y20" s="134"/>
      <c r="Z20" s="134"/>
      <c r="AA20" s="134"/>
      <c r="AB20" s="134"/>
      <c r="AC20" s="134"/>
      <c r="AD20" s="134"/>
    </row>
    <row r="21" spans="1:30" ht="33" customHeight="1" x14ac:dyDescent="0.25">
      <c r="A21" s="42" t="s">
        <v>36</v>
      </c>
      <c r="B21" s="46" t="s">
        <v>147</v>
      </c>
      <c r="C21" s="41" t="s">
        <v>150</v>
      </c>
      <c r="D21" s="46"/>
      <c r="E21" s="46"/>
      <c r="F21" s="4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06"/>
      <c r="V21" s="106"/>
      <c r="W21" s="5">
        <f t="shared" si="1"/>
        <v>0</v>
      </c>
      <c r="X21" s="120"/>
      <c r="Y21" s="121"/>
      <c r="Z21" s="121"/>
      <c r="AA21" s="121"/>
      <c r="AB21" s="121"/>
      <c r="AC21" s="121"/>
      <c r="AD21" s="121"/>
    </row>
    <row r="22" spans="1:30" ht="33" customHeight="1" x14ac:dyDescent="0.25">
      <c r="A22" s="45" t="s">
        <v>38</v>
      </c>
      <c r="B22" s="46" t="s">
        <v>162</v>
      </c>
      <c r="C22" s="41" t="s">
        <v>150</v>
      </c>
      <c r="D22" s="46"/>
      <c r="E22" s="46"/>
      <c r="F22" s="42"/>
      <c r="G22" s="5"/>
      <c r="H22" s="5"/>
      <c r="I22" s="5"/>
      <c r="J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f t="shared" si="1"/>
        <v>0</v>
      </c>
    </row>
    <row r="23" spans="1:30" ht="33" customHeight="1" x14ac:dyDescent="0.25">
      <c r="A23" s="42" t="s">
        <v>40</v>
      </c>
      <c r="B23" s="46" t="s">
        <v>41</v>
      </c>
      <c r="C23" s="41"/>
      <c r="D23" s="46"/>
      <c r="E23" s="46"/>
      <c r="F23" s="42"/>
      <c r="G23" s="5">
        <f>110954.99+155011</f>
        <v>265965.99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f t="shared" si="1"/>
        <v>265965.99</v>
      </c>
    </row>
    <row r="24" spans="1:30" ht="33" customHeight="1" x14ac:dyDescent="0.25">
      <c r="A24" s="42" t="s">
        <v>42</v>
      </c>
      <c r="B24" s="46" t="s">
        <v>145</v>
      </c>
      <c r="C24" s="41" t="s">
        <v>150</v>
      </c>
      <c r="D24" s="46"/>
      <c r="E24" s="46"/>
      <c r="F24" s="42"/>
      <c r="G24" s="5"/>
      <c r="H24" s="5"/>
      <c r="I24" s="5"/>
      <c r="J24" s="5"/>
      <c r="K24" s="5"/>
      <c r="L24" s="5">
        <v>148552.67000000001</v>
      </c>
      <c r="M24" s="5">
        <v>163407.94</v>
      </c>
      <c r="N24" s="5">
        <f>89234.76-4932.51</f>
        <v>84302.25</v>
      </c>
      <c r="O24" s="5">
        <v>84302.25</v>
      </c>
      <c r="P24" s="5"/>
      <c r="Q24" s="5">
        <v>800</v>
      </c>
      <c r="R24" s="5"/>
      <c r="S24" s="5"/>
      <c r="T24" s="5">
        <f>1100000+80000</f>
        <v>1180000</v>
      </c>
      <c r="U24" s="5">
        <v>1090000</v>
      </c>
      <c r="V24" s="5">
        <f>1030000+100000</f>
        <v>1130000</v>
      </c>
      <c r="W24" s="5">
        <f t="shared" si="1"/>
        <v>3881365.11</v>
      </c>
    </row>
    <row r="25" spans="1:30" ht="33" customHeight="1" x14ac:dyDescent="0.25">
      <c r="A25" s="45" t="s">
        <v>44</v>
      </c>
      <c r="B25" s="46" t="s">
        <v>135</v>
      </c>
      <c r="C25" s="41" t="s">
        <v>150</v>
      </c>
      <c r="D25" s="46"/>
      <c r="E25" s="46"/>
      <c r="F25" s="42"/>
      <c r="G25" s="5">
        <f>20000+20000+20000+20000</f>
        <v>80000</v>
      </c>
      <c r="H25" s="5">
        <f>20000+30000</f>
        <v>50000</v>
      </c>
      <c r="I25" s="5">
        <f>40000/2+17000</f>
        <v>37000</v>
      </c>
      <c r="J25" s="5">
        <f>40000/2</f>
        <v>20000</v>
      </c>
      <c r="K25" s="5"/>
      <c r="L25" s="5"/>
      <c r="M25" s="5"/>
      <c r="N25" s="5"/>
      <c r="O25" s="5"/>
      <c r="P25" s="5"/>
      <c r="Q25" s="5"/>
      <c r="R25" s="5"/>
      <c r="S25" s="5"/>
      <c r="T25" s="5">
        <v>100000</v>
      </c>
      <c r="U25" s="5">
        <v>57882.67</v>
      </c>
      <c r="V25" s="5">
        <v>50000</v>
      </c>
      <c r="W25" s="5">
        <f t="shared" si="1"/>
        <v>394882.67</v>
      </c>
    </row>
    <row r="26" spans="1:30" ht="33" customHeight="1" x14ac:dyDescent="0.25">
      <c r="A26" s="45" t="s">
        <v>46</v>
      </c>
      <c r="B26" s="46" t="s">
        <v>165</v>
      </c>
      <c r="C26" s="41"/>
      <c r="D26" s="46"/>
      <c r="E26" s="46"/>
      <c r="F26" s="4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f t="shared" si="1"/>
        <v>0</v>
      </c>
    </row>
    <row r="27" spans="1:30" ht="33" customHeight="1" x14ac:dyDescent="0.25">
      <c r="A27" s="45" t="s">
        <v>48</v>
      </c>
      <c r="B27" s="46" t="s">
        <v>143</v>
      </c>
      <c r="C27" s="41" t="s">
        <v>150</v>
      </c>
      <c r="D27" s="46"/>
      <c r="E27" s="46"/>
      <c r="F27" s="4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f t="shared" si="1"/>
        <v>0</v>
      </c>
    </row>
    <row r="28" spans="1:30" ht="33" customHeight="1" x14ac:dyDescent="0.25">
      <c r="A28" s="45" t="s">
        <v>50</v>
      </c>
      <c r="B28" s="46" t="s">
        <v>51</v>
      </c>
      <c r="C28" s="41" t="s">
        <v>150</v>
      </c>
      <c r="D28" s="46"/>
      <c r="E28" s="46"/>
      <c r="F28" s="4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8"/>
      <c r="U28" s="28"/>
      <c r="V28" s="28"/>
      <c r="W28" s="5">
        <f t="shared" si="1"/>
        <v>0</v>
      </c>
    </row>
    <row r="29" spans="1:30" ht="47.25" customHeight="1" x14ac:dyDescent="0.25">
      <c r="A29" s="45" t="s">
        <v>52</v>
      </c>
      <c r="B29" s="46" t="s">
        <v>166</v>
      </c>
      <c r="C29" s="41"/>
      <c r="D29" s="46"/>
      <c r="E29" s="46"/>
      <c r="F29" s="42"/>
      <c r="G29" s="5">
        <f>37667.72-37667.72</f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v>0</v>
      </c>
      <c r="S29" s="5">
        <v>174719.51</v>
      </c>
      <c r="T29" s="28">
        <f>80954.08-80954.08</f>
        <v>0</v>
      </c>
      <c r="U29" s="28">
        <v>80954.080000000002</v>
      </c>
      <c r="V29" s="28">
        <f>80954.08+15000</f>
        <v>95954.08</v>
      </c>
      <c r="W29" s="5">
        <f>SUM(G29:V29)</f>
        <v>351627.67000000004</v>
      </c>
    </row>
    <row r="30" spans="1:30" ht="33" customHeight="1" x14ac:dyDescent="0.25">
      <c r="A30" s="45" t="s">
        <v>54</v>
      </c>
      <c r="B30" s="46" t="s">
        <v>178</v>
      </c>
      <c r="C30" s="41"/>
      <c r="D30" s="46"/>
      <c r="E30" s="46"/>
      <c r="F30" s="4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f t="shared" si="1"/>
        <v>0</v>
      </c>
    </row>
    <row r="31" spans="1:30" ht="33" customHeight="1" x14ac:dyDescent="0.25">
      <c r="A31" s="45" t="s">
        <v>55</v>
      </c>
      <c r="B31" s="46" t="s">
        <v>56</v>
      </c>
      <c r="C31" s="41"/>
      <c r="D31" s="46"/>
      <c r="E31" s="46"/>
      <c r="F31" s="4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f t="shared" si="1"/>
        <v>0</v>
      </c>
    </row>
    <row r="32" spans="1:30" ht="42.75" customHeight="1" x14ac:dyDescent="0.25">
      <c r="A32" s="45" t="s">
        <v>57</v>
      </c>
      <c r="B32" s="46" t="s">
        <v>158</v>
      </c>
      <c r="C32" s="41"/>
      <c r="D32" s="46"/>
      <c r="E32" s="46"/>
      <c r="F32" s="42"/>
      <c r="G32" s="5">
        <f>181591.02+42142.49-90694.27</f>
        <v>133039.24</v>
      </c>
      <c r="H32" s="5">
        <v>31972.5</v>
      </c>
      <c r="I32" s="5">
        <v>0</v>
      </c>
      <c r="J32" s="5">
        <v>0</v>
      </c>
      <c r="K32" s="5"/>
      <c r="L32" s="5"/>
      <c r="M32" s="5"/>
      <c r="N32" s="5"/>
      <c r="O32" s="5"/>
      <c r="P32" s="5"/>
      <c r="Q32" s="5"/>
      <c r="R32" s="5">
        <v>23357.81</v>
      </c>
      <c r="S32" s="5">
        <f>280954.08</f>
        <v>280954.08</v>
      </c>
      <c r="T32" s="5">
        <f>3370000+754045.92+450000+91500-7.33</f>
        <v>4665538.59</v>
      </c>
      <c r="U32" s="5">
        <v>3794045.92</v>
      </c>
      <c r="V32" s="5">
        <f>3500000+519045.92+450000</f>
        <v>4469045.92</v>
      </c>
      <c r="W32" s="5">
        <f>SUM(G32:V32)</f>
        <v>13397954.060000001</v>
      </c>
    </row>
    <row r="33" spans="1:30" ht="33" customHeight="1" x14ac:dyDescent="0.25">
      <c r="A33" s="45" t="s">
        <v>59</v>
      </c>
      <c r="B33" s="46" t="s">
        <v>136</v>
      </c>
      <c r="C33" s="41" t="s">
        <v>150</v>
      </c>
      <c r="D33" s="46"/>
      <c r="E33" s="46"/>
      <c r="F33" s="4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f t="shared" si="1"/>
        <v>0</v>
      </c>
    </row>
    <row r="34" spans="1:30" ht="33" customHeight="1" x14ac:dyDescent="0.25">
      <c r="A34" s="45" t="s">
        <v>61</v>
      </c>
      <c r="B34" s="46" t="s">
        <v>132</v>
      </c>
      <c r="C34" s="41" t="s">
        <v>150</v>
      </c>
      <c r="D34" s="46"/>
      <c r="E34" s="46"/>
      <c r="F34" s="4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">
        <f t="shared" si="1"/>
        <v>0</v>
      </c>
    </row>
    <row r="35" spans="1:30" ht="33" customHeight="1" x14ac:dyDescent="0.25">
      <c r="A35" s="45" t="s">
        <v>63</v>
      </c>
      <c r="B35" s="46" t="s">
        <v>179</v>
      </c>
      <c r="C35" s="41" t="s">
        <v>150</v>
      </c>
      <c r="D35" s="46"/>
      <c r="E35" s="46"/>
      <c r="F35" s="4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5">
        <f t="shared" si="1"/>
        <v>0</v>
      </c>
    </row>
    <row r="36" spans="1:30" ht="33" customHeight="1" x14ac:dyDescent="0.25">
      <c r="A36" s="45" t="s">
        <v>64</v>
      </c>
      <c r="B36" s="46" t="s">
        <v>127</v>
      </c>
      <c r="C36" s="41" t="s">
        <v>150</v>
      </c>
      <c r="D36" s="46"/>
      <c r="E36" s="46"/>
      <c r="F36" s="4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07"/>
      <c r="U36" s="107"/>
      <c r="V36" s="107"/>
      <c r="W36" s="7">
        <f t="shared" si="1"/>
        <v>0</v>
      </c>
    </row>
    <row r="37" spans="1:30" ht="33" customHeight="1" x14ac:dyDescent="0.25">
      <c r="A37" s="45" t="s">
        <v>66</v>
      </c>
      <c r="B37" s="46" t="s">
        <v>67</v>
      </c>
      <c r="C37" s="41"/>
      <c r="D37" s="46"/>
      <c r="E37" s="46"/>
      <c r="F37" s="42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5">
        <f t="shared" si="1"/>
        <v>0</v>
      </c>
    </row>
    <row r="38" spans="1:30" ht="33" customHeight="1" x14ac:dyDescent="0.25">
      <c r="A38" s="45" t="s">
        <v>68</v>
      </c>
      <c r="B38" s="46" t="s">
        <v>140</v>
      </c>
      <c r="C38" s="41" t="s">
        <v>150</v>
      </c>
      <c r="D38" s="46"/>
      <c r="E38" s="46"/>
      <c r="F38" s="4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5">
        <f t="shared" si="1"/>
        <v>0</v>
      </c>
    </row>
    <row r="39" spans="1:30" ht="33" customHeight="1" x14ac:dyDescent="0.25">
      <c r="A39" s="45" t="s">
        <v>70</v>
      </c>
      <c r="B39" s="46" t="s">
        <v>71</v>
      </c>
      <c r="C39" s="41"/>
      <c r="D39" s="46"/>
      <c r="E39" s="46"/>
      <c r="F39" s="42"/>
      <c r="G39" s="6"/>
      <c r="H39" s="6"/>
      <c r="I39" s="6"/>
      <c r="J39" s="6"/>
      <c r="K39" s="5"/>
      <c r="L39" s="6"/>
      <c r="M39" s="6"/>
      <c r="N39" s="6"/>
      <c r="O39" s="6"/>
      <c r="P39" s="6"/>
      <c r="Q39" s="5"/>
      <c r="R39" s="6"/>
      <c r="S39" s="6"/>
      <c r="T39" s="5"/>
      <c r="U39" s="6"/>
      <c r="V39" s="6"/>
      <c r="W39" s="5">
        <f t="shared" si="1"/>
        <v>0</v>
      </c>
      <c r="AD39" s="61"/>
    </row>
    <row r="40" spans="1:30" ht="33" customHeight="1" x14ac:dyDescent="0.25">
      <c r="A40" s="45" t="s">
        <v>72</v>
      </c>
      <c r="B40" s="46" t="s">
        <v>73</v>
      </c>
      <c r="C40" s="41" t="s">
        <v>150</v>
      </c>
      <c r="D40" s="46"/>
      <c r="E40" s="46"/>
      <c r="F40" s="42"/>
      <c r="G40" s="6">
        <f>9072.73+76200+57096</f>
        <v>142368.72999999998</v>
      </c>
      <c r="H40" s="6"/>
      <c r="I40" s="6"/>
      <c r="J40" s="6"/>
      <c r="K40" s="5"/>
      <c r="L40" s="5"/>
      <c r="M40" s="5"/>
      <c r="N40" s="6">
        <v>30000</v>
      </c>
      <c r="O40" s="6">
        <v>34064.699999999997</v>
      </c>
      <c r="P40" s="6"/>
      <c r="Q40" s="5">
        <f>84360.56+30+1714.8</f>
        <v>86105.36</v>
      </c>
      <c r="R40" s="5"/>
      <c r="S40" s="6"/>
      <c r="T40" s="5">
        <f>250952.54-38416.48</f>
        <v>212536.06</v>
      </c>
      <c r="U40" s="5">
        <v>250952.54</v>
      </c>
      <c r="V40" s="5">
        <v>250952.54</v>
      </c>
      <c r="W40" s="5">
        <f t="shared" si="1"/>
        <v>1006979.93</v>
      </c>
    </row>
    <row r="41" spans="1:30" ht="18" customHeight="1" x14ac:dyDescent="0.25">
      <c r="A41" s="45"/>
      <c r="B41" s="47"/>
      <c r="C41" s="48"/>
      <c r="D41" s="49"/>
      <c r="E41" s="50"/>
      <c r="F41" s="50"/>
      <c r="G41" s="6"/>
      <c r="H41" s="6"/>
      <c r="I41" s="6"/>
      <c r="J41" s="6"/>
      <c r="K41" s="106"/>
      <c r="L41" s="5"/>
      <c r="M41" s="5"/>
      <c r="N41" s="6"/>
      <c r="O41" s="6"/>
      <c r="P41" s="6"/>
      <c r="Q41" s="5"/>
      <c r="T41" s="106"/>
      <c r="U41" s="106"/>
      <c r="V41" s="106"/>
      <c r="W41" s="5">
        <f t="shared" si="1"/>
        <v>0</v>
      </c>
    </row>
    <row r="42" spans="1:30" ht="18" customHeight="1" x14ac:dyDescent="0.25">
      <c r="A42" s="45"/>
      <c r="B42" s="47"/>
      <c r="C42" s="48"/>
      <c r="D42" s="49"/>
      <c r="E42" s="50"/>
      <c r="F42" s="50"/>
      <c r="G42" s="6"/>
      <c r="H42" s="6"/>
      <c r="I42" s="6"/>
      <c r="J42" s="6"/>
      <c r="K42" s="5"/>
      <c r="L42" s="5"/>
      <c r="M42" s="5"/>
      <c r="N42" s="6"/>
      <c r="O42" s="6"/>
      <c r="P42" s="6"/>
      <c r="Q42" s="5"/>
      <c r="R42" s="5"/>
      <c r="S42" s="6"/>
      <c r="T42" s="5"/>
      <c r="U42" s="5"/>
      <c r="V42" s="5"/>
      <c r="W42" s="5">
        <f t="shared" si="1"/>
        <v>0</v>
      </c>
    </row>
    <row r="43" spans="1:30" ht="18" customHeight="1" x14ac:dyDescent="0.25">
      <c r="A43" s="45"/>
      <c r="B43" s="47"/>
      <c r="C43" s="48"/>
      <c r="D43" s="49"/>
      <c r="E43" s="50"/>
      <c r="F43" s="50"/>
      <c r="G43" s="6"/>
      <c r="H43" s="6"/>
      <c r="I43" s="6"/>
      <c r="J43" s="6"/>
      <c r="K43" s="5"/>
      <c r="L43" s="5"/>
      <c r="M43" s="5"/>
      <c r="N43" s="6"/>
      <c r="O43" s="6"/>
      <c r="P43" s="6"/>
      <c r="Q43" s="5"/>
      <c r="R43" s="5"/>
      <c r="S43" s="6"/>
      <c r="T43" s="5"/>
      <c r="U43" s="5"/>
      <c r="V43" s="5"/>
      <c r="W43" s="5">
        <f t="shared" si="1"/>
        <v>0</v>
      </c>
    </row>
    <row r="44" spans="1:30" ht="18" customHeight="1" x14ac:dyDescent="0.25">
      <c r="A44" s="45"/>
      <c r="B44" s="47"/>
      <c r="C44" s="48"/>
      <c r="D44" s="49"/>
      <c r="E44" s="50"/>
      <c r="F44" s="50"/>
      <c r="G44" s="6"/>
      <c r="H44" s="6"/>
      <c r="I44" s="6"/>
      <c r="J44" s="6"/>
      <c r="L44" s="5"/>
      <c r="M44" s="5"/>
      <c r="N44" s="6"/>
      <c r="O44" s="6"/>
      <c r="P44" s="6"/>
      <c r="Q44" s="5"/>
      <c r="R44" s="5"/>
      <c r="S44" s="6"/>
      <c r="T44" s="5"/>
      <c r="U44" s="5"/>
      <c r="V44" s="5"/>
      <c r="W44" s="5">
        <f t="shared" si="1"/>
        <v>0</v>
      </c>
    </row>
    <row r="45" spans="1:30" ht="18" customHeight="1" x14ac:dyDescent="0.25">
      <c r="A45" s="45"/>
      <c r="B45" s="47"/>
      <c r="C45" s="48"/>
      <c r="D45" s="49"/>
      <c r="E45" s="50"/>
      <c r="F45" s="50"/>
      <c r="G45" s="6"/>
      <c r="H45" s="6"/>
      <c r="I45" s="6"/>
      <c r="J45" s="6"/>
      <c r="K45" s="5"/>
      <c r="L45" s="5"/>
      <c r="M45" s="5"/>
      <c r="N45" s="6"/>
      <c r="O45" s="6"/>
      <c r="P45" s="6"/>
      <c r="Q45" s="5">
        <v>0</v>
      </c>
      <c r="R45" s="5">
        <v>0</v>
      </c>
      <c r="S45" s="6">
        <v>0</v>
      </c>
      <c r="T45" s="5"/>
      <c r="U45" s="5"/>
      <c r="V45" s="5"/>
      <c r="W45" s="5">
        <f t="shared" si="1"/>
        <v>0</v>
      </c>
    </row>
    <row r="46" spans="1:30" ht="18" customHeight="1" x14ac:dyDescent="0.25">
      <c r="A46" s="45"/>
      <c r="B46" s="47"/>
      <c r="C46" s="48"/>
      <c r="D46" s="49"/>
      <c r="E46" s="50"/>
      <c r="F46" s="50"/>
      <c r="G46" s="6"/>
      <c r="H46" s="6"/>
      <c r="I46" s="6"/>
      <c r="J46" s="6"/>
      <c r="K46" s="5"/>
      <c r="L46" s="5"/>
      <c r="M46" s="5"/>
      <c r="N46" s="6"/>
      <c r="O46" s="6"/>
      <c r="P46" s="6"/>
      <c r="Q46" s="5"/>
      <c r="R46" s="5"/>
      <c r="S46" s="6"/>
      <c r="T46" s="5"/>
      <c r="U46" s="5"/>
      <c r="V46" s="5"/>
      <c r="W46" s="5">
        <f t="shared" si="1"/>
        <v>0</v>
      </c>
    </row>
    <row r="47" spans="1:30" ht="33" customHeight="1" x14ac:dyDescent="0.25">
      <c r="A47" s="62" t="s">
        <v>119</v>
      </c>
      <c r="B47" s="63" t="s">
        <v>120</v>
      </c>
      <c r="C47" s="117"/>
      <c r="D47" s="118"/>
      <c r="E47" s="119"/>
      <c r="F47" s="64"/>
      <c r="G47" s="64">
        <f>SUM(G5:G46)</f>
        <v>4224887.0500000007</v>
      </c>
      <c r="H47" s="65">
        <f t="shared" ref="H47:W47" si="2">SUM(H5:H46)</f>
        <v>1206231.9200000002</v>
      </c>
      <c r="I47" s="65">
        <f t="shared" si="2"/>
        <v>1206231.9100000001</v>
      </c>
      <c r="J47" s="65">
        <f t="shared" si="2"/>
        <v>856362.33499999996</v>
      </c>
      <c r="K47" s="65">
        <f t="shared" si="2"/>
        <v>564500.15</v>
      </c>
      <c r="L47" s="64">
        <f t="shared" si="2"/>
        <v>584500.15</v>
      </c>
      <c r="M47" s="64">
        <f t="shared" si="2"/>
        <v>642950.15999999992</v>
      </c>
      <c r="N47" s="65">
        <f t="shared" si="2"/>
        <v>3434648.45</v>
      </c>
      <c r="O47" s="64">
        <f t="shared" si="2"/>
        <v>3085974.58</v>
      </c>
      <c r="P47" s="64">
        <f t="shared" si="2"/>
        <v>0</v>
      </c>
      <c r="Q47" s="85">
        <f t="shared" si="2"/>
        <v>650962.26</v>
      </c>
      <c r="R47" s="65">
        <f t="shared" si="2"/>
        <v>650962.27</v>
      </c>
      <c r="S47" s="65">
        <f t="shared" si="2"/>
        <v>455673.59</v>
      </c>
      <c r="T47" s="64">
        <f t="shared" si="2"/>
        <v>8799174.3300000001</v>
      </c>
      <c r="U47" s="97">
        <f t="shared" si="2"/>
        <v>8173875.8700000001</v>
      </c>
      <c r="V47" s="97">
        <f t="shared" si="2"/>
        <v>9197580.4699999988</v>
      </c>
      <c r="W47" s="64">
        <f t="shared" si="2"/>
        <v>43734515.495000005</v>
      </c>
    </row>
    <row r="48" spans="1:30" hidden="1" x14ac:dyDescent="0.25">
      <c r="H48" s="22">
        <v>1206231.8999999999</v>
      </c>
      <c r="I48" s="22">
        <v>856362.33</v>
      </c>
      <c r="J48" s="22">
        <v>856362.33</v>
      </c>
      <c r="K48" s="22">
        <v>564500.15</v>
      </c>
      <c r="L48" s="22">
        <v>584500.15</v>
      </c>
      <c r="M48" s="22">
        <v>642950.16</v>
      </c>
      <c r="N48" s="22"/>
      <c r="O48" s="22"/>
      <c r="P48" s="22"/>
      <c r="Q48" s="9">
        <v>650962.26</v>
      </c>
      <c r="R48" s="9">
        <v>455673.59</v>
      </c>
      <c r="S48" s="9">
        <v>455673.59</v>
      </c>
      <c r="T48" s="66">
        <v>8817093.3699999992</v>
      </c>
      <c r="U48" s="66">
        <v>8817093.3699999992</v>
      </c>
      <c r="V48" s="66">
        <v>8817093.3699999992</v>
      </c>
      <c r="W48" s="9" t="s">
        <v>157</v>
      </c>
    </row>
    <row r="49" spans="6:21" hidden="1" x14ac:dyDescent="0.25">
      <c r="H49" s="22"/>
      <c r="I49" s="22">
        <v>349869.57</v>
      </c>
      <c r="J49" s="22"/>
      <c r="K49" s="22"/>
      <c r="L49" s="22"/>
      <c r="M49" s="22"/>
      <c r="N49" s="22">
        <f>3399664.7+34983.75</f>
        <v>3434648.45</v>
      </c>
      <c r="O49" s="22">
        <v>3051909.88</v>
      </c>
      <c r="P49" s="22"/>
      <c r="Q49" s="22"/>
      <c r="R49" s="9">
        <v>195288.68</v>
      </c>
    </row>
    <row r="50" spans="6:21" hidden="1" x14ac:dyDescent="0.25">
      <c r="H50" s="22"/>
      <c r="I50" s="22">
        <f>I48+I49</f>
        <v>1206231.8999999999</v>
      </c>
      <c r="J50" s="22"/>
      <c r="K50" s="22"/>
      <c r="L50" s="22"/>
      <c r="M50" s="22"/>
      <c r="N50" s="22"/>
      <c r="O50" s="22">
        <v>34983.75</v>
      </c>
      <c r="P50" s="22"/>
      <c r="Q50" s="22"/>
      <c r="R50" s="22">
        <f>R48+R49</f>
        <v>650962.27</v>
      </c>
    </row>
    <row r="51" spans="6:21" hidden="1" x14ac:dyDescent="0.25">
      <c r="H51" s="22"/>
      <c r="I51" s="22"/>
      <c r="J51" s="22"/>
      <c r="K51" s="22"/>
      <c r="L51" s="22"/>
      <c r="M51" s="22"/>
      <c r="N51" s="22"/>
      <c r="O51" s="22">
        <f>O49+O50</f>
        <v>3086893.63</v>
      </c>
      <c r="P51" s="22"/>
      <c r="U51" s="22">
        <f>U48-U47</f>
        <v>643217.49999999907</v>
      </c>
    </row>
    <row r="52" spans="6:21" hidden="1" x14ac:dyDescent="0.25">
      <c r="H52" s="22"/>
      <c r="I52" s="22"/>
      <c r="J52" s="22"/>
      <c r="K52" s="22"/>
      <c r="L52" s="22"/>
      <c r="M52" s="22">
        <f>Q48-Q47</f>
        <v>0</v>
      </c>
      <c r="N52" s="22"/>
      <c r="O52" s="22"/>
      <c r="P52" s="22"/>
      <c r="R52" s="9" t="s">
        <v>151</v>
      </c>
      <c r="S52" s="86">
        <f>W47+'scheda C'!AQ48</f>
        <v>81934009.435000002</v>
      </c>
    </row>
    <row r="53" spans="6:21" hidden="1" x14ac:dyDescent="0.25">
      <c r="G53" s="22">
        <f>4224887.05-G47</f>
        <v>0</v>
      </c>
      <c r="M53" s="22"/>
    </row>
    <row r="54" spans="6:21" hidden="1" x14ac:dyDescent="0.25"/>
    <row r="55" spans="6:21" hidden="1" x14ac:dyDescent="0.25">
      <c r="F55" s="22"/>
      <c r="O55" s="64">
        <v>1204983.75</v>
      </c>
      <c r="S55" s="22"/>
    </row>
    <row r="56" spans="6:21" hidden="1" x14ac:dyDescent="0.25"/>
    <row r="57" spans="6:21" hidden="1" x14ac:dyDescent="0.25">
      <c r="T57" s="22">
        <f>T48-T47</f>
        <v>17919.039999999106</v>
      </c>
    </row>
  </sheetData>
  <mergeCells count="12">
    <mergeCell ref="C47:E47"/>
    <mergeCell ref="X21:AD21"/>
    <mergeCell ref="A3:B4"/>
    <mergeCell ref="A1:B1"/>
    <mergeCell ref="C3:E3"/>
    <mergeCell ref="X16:AD16"/>
    <mergeCell ref="X17:AD17"/>
    <mergeCell ref="X11:AD11"/>
    <mergeCell ref="X20:AD20"/>
    <mergeCell ref="X10:AD10"/>
    <mergeCell ref="G3:W3"/>
    <mergeCell ref="X19:AD19"/>
  </mergeCells>
  <pageMargins left="0.11811023622047245" right="0.11811023622047245" top="0.74803149606299213" bottom="0.74803149606299213" header="0.31496062992125984" footer="0.31496062992125984"/>
  <pageSetup paperSize="8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48"/>
  <sheetViews>
    <sheetView zoomScale="83" zoomScaleNormal="83" workbookViewId="0">
      <pane xSplit="5" ySplit="2" topLeftCell="F11" activePane="bottomRight" state="frozen"/>
      <selection activeCell="P14" sqref="P14"/>
      <selection pane="topRight" activeCell="P14" sqref="P14"/>
      <selection pane="bottomLeft" activeCell="P14" sqref="P14"/>
      <selection pane="bottomRight" activeCell="B10" sqref="B10"/>
    </sheetView>
  </sheetViews>
  <sheetFormatPr defaultColWidth="8.7109375" defaultRowHeight="15.75" x14ac:dyDescent="0.25"/>
  <cols>
    <col min="1" max="1" width="8.7109375" style="9"/>
    <col min="2" max="2" width="75" style="9" customWidth="1"/>
    <col min="3" max="4" width="3.7109375" style="9" customWidth="1"/>
    <col min="5" max="5" width="5.7109375" style="9" customWidth="1"/>
    <col min="6" max="6" width="20.7109375" style="9" customWidth="1"/>
    <col min="7" max="55" width="9.7109375" style="9" customWidth="1"/>
    <col min="56" max="16384" width="8.7109375" style="9"/>
  </cols>
  <sheetData>
    <row r="1" spans="1:55" ht="34.15" customHeight="1" thickBot="1" x14ac:dyDescent="0.3">
      <c r="A1" s="148" t="s">
        <v>74</v>
      </c>
      <c r="B1" s="149"/>
      <c r="C1" s="23"/>
      <c r="D1" s="23"/>
      <c r="E1" s="23"/>
      <c r="F1" s="23"/>
    </row>
    <row r="2" spans="1:5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</row>
    <row r="3" spans="1:55" ht="14.65" customHeight="1" x14ac:dyDescent="0.25">
      <c r="A3" s="142" t="s">
        <v>1</v>
      </c>
      <c r="B3" s="143"/>
      <c r="C3" s="142" t="s">
        <v>92</v>
      </c>
      <c r="D3" s="154"/>
      <c r="E3" s="143"/>
      <c r="F3" s="156" t="s">
        <v>124</v>
      </c>
      <c r="G3" s="150" t="s">
        <v>2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</row>
    <row r="4" spans="1:55" ht="22.5" customHeight="1" x14ac:dyDescent="0.25">
      <c r="A4" s="144"/>
      <c r="B4" s="145"/>
      <c r="C4" s="146"/>
      <c r="D4" s="155"/>
      <c r="E4" s="147"/>
      <c r="F4" s="157"/>
      <c r="G4" s="139" t="s">
        <v>126</v>
      </c>
      <c r="H4" s="140"/>
      <c r="I4" s="141"/>
      <c r="J4" s="136" t="s">
        <v>126</v>
      </c>
      <c r="K4" s="137"/>
      <c r="L4" s="138"/>
      <c r="M4" s="139" t="s">
        <v>126</v>
      </c>
      <c r="N4" s="140"/>
      <c r="O4" s="141"/>
      <c r="P4" s="136" t="s">
        <v>126</v>
      </c>
      <c r="Q4" s="137"/>
      <c r="R4" s="138"/>
      <c r="S4" s="139" t="s">
        <v>126</v>
      </c>
      <c r="T4" s="140"/>
      <c r="U4" s="141"/>
      <c r="V4" s="136" t="s">
        <v>126</v>
      </c>
      <c r="W4" s="137"/>
      <c r="X4" s="138"/>
      <c r="Y4" s="139" t="s">
        <v>126</v>
      </c>
      <c r="Z4" s="140"/>
      <c r="AA4" s="141"/>
      <c r="AB4" s="136" t="s">
        <v>126</v>
      </c>
      <c r="AC4" s="137"/>
      <c r="AD4" s="138"/>
      <c r="AE4" s="139" t="s">
        <v>126</v>
      </c>
      <c r="AF4" s="140"/>
      <c r="AG4" s="141"/>
      <c r="AH4" s="136" t="s">
        <v>126</v>
      </c>
      <c r="AI4" s="137"/>
      <c r="AJ4" s="138"/>
      <c r="AK4" s="139" t="s">
        <v>126</v>
      </c>
      <c r="AL4" s="140"/>
      <c r="AM4" s="141"/>
      <c r="AN4" s="136" t="s">
        <v>126</v>
      </c>
      <c r="AO4" s="137"/>
      <c r="AP4" s="138"/>
      <c r="AQ4" s="139" t="s">
        <v>126</v>
      </c>
      <c r="AR4" s="140"/>
      <c r="AS4" s="141"/>
      <c r="AT4" s="136" t="s">
        <v>126</v>
      </c>
      <c r="AU4" s="137"/>
      <c r="AV4" s="138"/>
      <c r="AW4" s="139" t="s">
        <v>126</v>
      </c>
      <c r="AX4" s="140"/>
      <c r="AY4" s="141"/>
      <c r="AZ4" s="136" t="s">
        <v>126</v>
      </c>
      <c r="BA4" s="137"/>
      <c r="BB4" s="138"/>
      <c r="BC4" s="35"/>
    </row>
    <row r="5" spans="1:55" ht="78.75" x14ac:dyDescent="0.25">
      <c r="A5" s="146"/>
      <c r="B5" s="147"/>
      <c r="C5" s="36">
        <v>22</v>
      </c>
      <c r="D5" s="36">
        <v>23</v>
      </c>
      <c r="E5" s="36">
        <v>24</v>
      </c>
      <c r="F5" s="37" t="s">
        <v>125</v>
      </c>
      <c r="G5" s="38">
        <v>2022</v>
      </c>
      <c r="H5" s="38">
        <v>2023</v>
      </c>
      <c r="I5" s="38">
        <v>2024</v>
      </c>
      <c r="J5" s="11">
        <v>2022</v>
      </c>
      <c r="K5" s="11">
        <v>2023</v>
      </c>
      <c r="L5" s="11">
        <v>2024</v>
      </c>
      <c r="M5" s="38">
        <v>2022</v>
      </c>
      <c r="N5" s="38">
        <v>2023</v>
      </c>
      <c r="O5" s="38">
        <v>2024</v>
      </c>
      <c r="P5" s="11">
        <v>2022</v>
      </c>
      <c r="Q5" s="11">
        <v>2023</v>
      </c>
      <c r="R5" s="11">
        <v>2024</v>
      </c>
      <c r="S5" s="38">
        <v>2022</v>
      </c>
      <c r="T5" s="38">
        <v>2023</v>
      </c>
      <c r="U5" s="38">
        <v>2024</v>
      </c>
      <c r="V5" s="11">
        <v>2022</v>
      </c>
      <c r="W5" s="11">
        <v>2023</v>
      </c>
      <c r="X5" s="11">
        <v>2024</v>
      </c>
      <c r="Y5" s="38">
        <v>2022</v>
      </c>
      <c r="Z5" s="38">
        <v>2023</v>
      </c>
      <c r="AA5" s="38">
        <v>2024</v>
      </c>
      <c r="AB5" s="11">
        <v>2022</v>
      </c>
      <c r="AC5" s="11">
        <v>2023</v>
      </c>
      <c r="AD5" s="11">
        <v>2024</v>
      </c>
      <c r="AE5" s="38">
        <v>2022</v>
      </c>
      <c r="AF5" s="38">
        <v>2023</v>
      </c>
      <c r="AG5" s="38">
        <v>2024</v>
      </c>
      <c r="AH5" s="11">
        <v>2022</v>
      </c>
      <c r="AI5" s="11">
        <v>2023</v>
      </c>
      <c r="AJ5" s="11">
        <v>2024</v>
      </c>
      <c r="AK5" s="38">
        <v>2022</v>
      </c>
      <c r="AL5" s="38">
        <v>2023</v>
      </c>
      <c r="AM5" s="38">
        <v>2024</v>
      </c>
      <c r="AN5" s="11">
        <v>2022</v>
      </c>
      <c r="AO5" s="11">
        <v>2023</v>
      </c>
      <c r="AP5" s="11">
        <v>2024</v>
      </c>
      <c r="AQ5" s="38">
        <v>2022</v>
      </c>
      <c r="AR5" s="38">
        <v>2023</v>
      </c>
      <c r="AS5" s="38">
        <v>2024</v>
      </c>
      <c r="AT5" s="11">
        <v>2022</v>
      </c>
      <c r="AU5" s="11">
        <v>2023</v>
      </c>
      <c r="AV5" s="11">
        <v>2024</v>
      </c>
      <c r="AW5" s="38">
        <v>2022</v>
      </c>
      <c r="AX5" s="38">
        <v>2023</v>
      </c>
      <c r="AY5" s="38">
        <v>2024</v>
      </c>
      <c r="AZ5" s="11">
        <v>2022</v>
      </c>
      <c r="BA5" s="11">
        <v>2023</v>
      </c>
      <c r="BB5" s="11">
        <v>2024</v>
      </c>
      <c r="BC5" s="39" t="s">
        <v>3</v>
      </c>
    </row>
    <row r="6" spans="1:55" ht="21.95" customHeight="1" x14ac:dyDescent="0.25">
      <c r="A6" s="40" t="s">
        <v>4</v>
      </c>
      <c r="B6" s="41" t="s">
        <v>5</v>
      </c>
      <c r="C6" s="41"/>
      <c r="D6" s="41"/>
      <c r="E6" s="41"/>
      <c r="F6" s="4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>
        <f>SUM(G6:BB6)</f>
        <v>0</v>
      </c>
    </row>
    <row r="7" spans="1:55" ht="21.95" customHeight="1" x14ac:dyDescent="0.25">
      <c r="A7" s="40" t="s">
        <v>6</v>
      </c>
      <c r="B7" s="41" t="s">
        <v>7</v>
      </c>
      <c r="C7" s="41"/>
      <c r="D7" s="41"/>
      <c r="E7" s="41"/>
      <c r="F7" s="4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>
        <f t="shared" ref="BC7:BC47" si="0">SUM(G7:BB7)</f>
        <v>0</v>
      </c>
    </row>
    <row r="8" spans="1:55" ht="21.95" customHeight="1" x14ac:dyDescent="0.25">
      <c r="A8" s="42" t="s">
        <v>8</v>
      </c>
      <c r="B8" s="41" t="s">
        <v>9</v>
      </c>
      <c r="C8" s="41"/>
      <c r="D8" s="41"/>
      <c r="E8" s="41"/>
      <c r="F8" s="4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>
        <f t="shared" si="0"/>
        <v>0</v>
      </c>
    </row>
    <row r="9" spans="1:55" ht="21.95" customHeight="1" x14ac:dyDescent="0.25">
      <c r="A9" s="40" t="s">
        <v>10</v>
      </c>
      <c r="B9" s="41" t="s">
        <v>11</v>
      </c>
      <c r="C9" s="41"/>
      <c r="D9" s="41"/>
      <c r="E9" s="41"/>
      <c r="F9" s="4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>
        <f t="shared" si="0"/>
        <v>0</v>
      </c>
    </row>
    <row r="10" spans="1:55" ht="21.95" customHeight="1" x14ac:dyDescent="0.25">
      <c r="A10" s="40" t="s">
        <v>12</v>
      </c>
      <c r="B10" s="43" t="s">
        <v>13</v>
      </c>
      <c r="C10" s="43"/>
      <c r="D10" s="43"/>
      <c r="E10" s="43"/>
      <c r="F10" s="4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>
        <f t="shared" si="0"/>
        <v>0</v>
      </c>
    </row>
    <row r="11" spans="1:55" ht="21.95" customHeight="1" x14ac:dyDescent="0.25">
      <c r="A11" s="40" t="s">
        <v>14</v>
      </c>
      <c r="B11" s="43" t="s">
        <v>15</v>
      </c>
      <c r="C11" s="43"/>
      <c r="D11" s="43"/>
      <c r="E11" s="43"/>
      <c r="F11" s="4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>
        <f t="shared" si="0"/>
        <v>0</v>
      </c>
    </row>
    <row r="12" spans="1:55" ht="21.95" customHeight="1" x14ac:dyDescent="0.25">
      <c r="A12" s="40" t="s">
        <v>16</v>
      </c>
      <c r="B12" s="43" t="s">
        <v>17</v>
      </c>
      <c r="C12" s="43"/>
      <c r="D12" s="43"/>
      <c r="E12" s="43"/>
      <c r="F12" s="4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>
        <f t="shared" si="0"/>
        <v>0</v>
      </c>
    </row>
    <row r="13" spans="1:55" ht="21.95" customHeight="1" x14ac:dyDescent="0.25">
      <c r="A13" s="40" t="s">
        <v>18</v>
      </c>
      <c r="B13" s="41" t="s">
        <v>19</v>
      </c>
      <c r="C13" s="41"/>
      <c r="D13" s="41"/>
      <c r="E13" s="41"/>
      <c r="F13" s="4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>
        <f t="shared" si="0"/>
        <v>0</v>
      </c>
    </row>
    <row r="14" spans="1:55" ht="21.95" customHeight="1" x14ac:dyDescent="0.25">
      <c r="A14" s="42" t="s">
        <v>20</v>
      </c>
      <c r="B14" s="44" t="s">
        <v>21</v>
      </c>
      <c r="C14" s="44"/>
      <c r="D14" s="44"/>
      <c r="E14" s="44"/>
      <c r="F14" s="4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>
        <f t="shared" si="0"/>
        <v>0</v>
      </c>
    </row>
    <row r="15" spans="1:55" ht="21.95" customHeight="1" x14ac:dyDescent="0.25">
      <c r="A15" s="40" t="s">
        <v>22</v>
      </c>
      <c r="B15" s="41" t="s">
        <v>23</v>
      </c>
      <c r="C15" s="41"/>
      <c r="D15" s="41"/>
      <c r="E15" s="41"/>
      <c r="F15" s="4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>
        <f t="shared" si="0"/>
        <v>0</v>
      </c>
    </row>
    <row r="16" spans="1:55" ht="21.95" customHeight="1" x14ac:dyDescent="0.25">
      <c r="A16" s="40" t="s">
        <v>24</v>
      </c>
      <c r="B16" s="41" t="s">
        <v>25</v>
      </c>
      <c r="C16" s="41"/>
      <c r="D16" s="41"/>
      <c r="E16" s="41"/>
      <c r="F16" s="4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>
        <f t="shared" si="0"/>
        <v>0</v>
      </c>
    </row>
    <row r="17" spans="1:55" ht="21.95" customHeight="1" x14ac:dyDescent="0.25">
      <c r="A17" s="40" t="s">
        <v>26</v>
      </c>
      <c r="B17" s="43" t="s">
        <v>27</v>
      </c>
      <c r="C17" s="43"/>
      <c r="D17" s="43"/>
      <c r="E17" s="43"/>
      <c r="F17" s="4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>
        <f t="shared" si="0"/>
        <v>0</v>
      </c>
    </row>
    <row r="18" spans="1:55" ht="21.95" customHeight="1" x14ac:dyDescent="0.25">
      <c r="A18" s="40" t="s">
        <v>28</v>
      </c>
      <c r="B18" s="43" t="s">
        <v>29</v>
      </c>
      <c r="C18" s="43"/>
      <c r="D18" s="43"/>
      <c r="E18" s="43"/>
      <c r="F18" s="4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>
        <f t="shared" si="0"/>
        <v>0</v>
      </c>
    </row>
    <row r="19" spans="1:55" ht="21.95" customHeight="1" x14ac:dyDescent="0.25">
      <c r="A19" s="40" t="s">
        <v>30</v>
      </c>
      <c r="B19" s="43" t="s">
        <v>31</v>
      </c>
      <c r="C19" s="43"/>
      <c r="D19" s="43"/>
      <c r="E19" s="43"/>
      <c r="F19" s="4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>
        <f t="shared" si="0"/>
        <v>0</v>
      </c>
    </row>
    <row r="20" spans="1:55" ht="21.95" customHeight="1" x14ac:dyDescent="0.25">
      <c r="A20" s="42" t="s">
        <v>32</v>
      </c>
      <c r="B20" s="44" t="s">
        <v>33</v>
      </c>
      <c r="C20" s="44"/>
      <c r="D20" s="44"/>
      <c r="E20" s="44"/>
      <c r="F20" s="4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>
        <f t="shared" si="0"/>
        <v>0</v>
      </c>
    </row>
    <row r="21" spans="1:55" ht="21.95" customHeight="1" x14ac:dyDescent="0.25">
      <c r="A21" s="42" t="s">
        <v>34</v>
      </c>
      <c r="B21" s="44" t="s">
        <v>35</v>
      </c>
      <c r="C21" s="44"/>
      <c r="D21" s="44"/>
      <c r="E21" s="44"/>
      <c r="F21" s="4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>
        <f t="shared" si="0"/>
        <v>0</v>
      </c>
    </row>
    <row r="22" spans="1:55" ht="21.95" customHeight="1" x14ac:dyDescent="0.25">
      <c r="A22" s="42" t="s">
        <v>36</v>
      </c>
      <c r="B22" s="44" t="s">
        <v>37</v>
      </c>
      <c r="C22" s="44"/>
      <c r="D22" s="44"/>
      <c r="E22" s="44"/>
      <c r="F22" s="4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>
        <f t="shared" si="0"/>
        <v>0</v>
      </c>
    </row>
    <row r="23" spans="1:55" ht="21.95" customHeight="1" x14ac:dyDescent="0.25">
      <c r="A23" s="45" t="s">
        <v>38</v>
      </c>
      <c r="B23" s="44" t="s">
        <v>39</v>
      </c>
      <c r="C23" s="44"/>
      <c r="D23" s="44"/>
      <c r="E23" s="44"/>
      <c r="F23" s="4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>
        <f t="shared" si="0"/>
        <v>0</v>
      </c>
    </row>
    <row r="24" spans="1:55" ht="21.95" customHeight="1" x14ac:dyDescent="0.25">
      <c r="A24" s="42" t="s">
        <v>40</v>
      </c>
      <c r="B24" s="44" t="s">
        <v>41</v>
      </c>
      <c r="C24" s="44"/>
      <c r="D24" s="44"/>
      <c r="E24" s="44"/>
      <c r="F24" s="4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>
        <f t="shared" si="0"/>
        <v>0</v>
      </c>
    </row>
    <row r="25" spans="1:55" ht="21.95" customHeight="1" x14ac:dyDescent="0.25">
      <c r="A25" s="42" t="s">
        <v>42</v>
      </c>
      <c r="B25" s="44" t="s">
        <v>43</v>
      </c>
      <c r="C25" s="44"/>
      <c r="D25" s="44"/>
      <c r="E25" s="44"/>
      <c r="F25" s="4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>
        <f t="shared" si="0"/>
        <v>0</v>
      </c>
    </row>
    <row r="26" spans="1:55" ht="21.95" customHeight="1" x14ac:dyDescent="0.25">
      <c r="A26" s="45" t="s">
        <v>44</v>
      </c>
      <c r="B26" s="44" t="s">
        <v>45</v>
      </c>
      <c r="C26" s="44"/>
      <c r="D26" s="44"/>
      <c r="E26" s="44"/>
      <c r="F26" s="4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>
        <f t="shared" si="0"/>
        <v>0</v>
      </c>
    </row>
    <row r="27" spans="1:55" ht="21.95" customHeight="1" x14ac:dyDescent="0.25">
      <c r="A27" s="45" t="s">
        <v>46</v>
      </c>
      <c r="B27" s="44" t="s">
        <v>47</v>
      </c>
      <c r="C27" s="44"/>
      <c r="D27" s="44"/>
      <c r="E27" s="44"/>
      <c r="F27" s="4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>
        <f t="shared" si="0"/>
        <v>0</v>
      </c>
    </row>
    <row r="28" spans="1:55" ht="21.95" customHeight="1" x14ac:dyDescent="0.25">
      <c r="A28" s="45" t="s">
        <v>48</v>
      </c>
      <c r="B28" s="44" t="s">
        <v>49</v>
      </c>
      <c r="C28" s="44"/>
      <c r="D28" s="44"/>
      <c r="E28" s="44"/>
      <c r="F28" s="4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>
        <f t="shared" si="0"/>
        <v>0</v>
      </c>
    </row>
    <row r="29" spans="1:55" ht="21.95" customHeight="1" x14ac:dyDescent="0.25">
      <c r="A29" s="45" t="s">
        <v>50</v>
      </c>
      <c r="B29" s="44" t="s">
        <v>51</v>
      </c>
      <c r="C29" s="44"/>
      <c r="D29" s="44"/>
      <c r="E29" s="44"/>
      <c r="F29" s="4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>
        <f t="shared" si="0"/>
        <v>0</v>
      </c>
    </row>
    <row r="30" spans="1:55" ht="21.95" customHeight="1" x14ac:dyDescent="0.25">
      <c r="A30" s="45" t="s">
        <v>52</v>
      </c>
      <c r="B30" s="44" t="s">
        <v>53</v>
      </c>
      <c r="C30" s="44"/>
      <c r="D30" s="44"/>
      <c r="E30" s="44"/>
      <c r="F30" s="4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>
        <f t="shared" si="0"/>
        <v>0</v>
      </c>
    </row>
    <row r="31" spans="1:55" ht="21.95" customHeight="1" x14ac:dyDescent="0.25">
      <c r="A31" s="45" t="s">
        <v>54</v>
      </c>
      <c r="B31" s="44" t="s">
        <v>178</v>
      </c>
      <c r="C31" s="44"/>
      <c r="D31" s="44"/>
      <c r="E31" s="44"/>
      <c r="F31" s="4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>
        <f t="shared" si="0"/>
        <v>0</v>
      </c>
    </row>
    <row r="32" spans="1:55" ht="21.95" customHeight="1" x14ac:dyDescent="0.25">
      <c r="A32" s="45" t="s">
        <v>55</v>
      </c>
      <c r="B32" s="44" t="s">
        <v>56</v>
      </c>
      <c r="C32" s="44"/>
      <c r="D32" s="44"/>
      <c r="E32" s="44"/>
      <c r="F32" s="4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>
        <f t="shared" si="0"/>
        <v>0</v>
      </c>
    </row>
    <row r="33" spans="1:55" ht="21.95" customHeight="1" x14ac:dyDescent="0.25">
      <c r="A33" s="45" t="s">
        <v>57</v>
      </c>
      <c r="B33" s="44" t="s">
        <v>58</v>
      </c>
      <c r="C33" s="44"/>
      <c r="D33" s="44"/>
      <c r="E33" s="44"/>
      <c r="F33" s="4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>
        <f t="shared" si="0"/>
        <v>0</v>
      </c>
    </row>
    <row r="34" spans="1:55" ht="21.95" customHeight="1" x14ac:dyDescent="0.25">
      <c r="A34" s="45" t="s">
        <v>59</v>
      </c>
      <c r="B34" s="46" t="s">
        <v>60</v>
      </c>
      <c r="C34" s="46"/>
      <c r="D34" s="46"/>
      <c r="E34" s="46"/>
      <c r="F34" s="4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>
        <f t="shared" si="0"/>
        <v>0</v>
      </c>
    </row>
    <row r="35" spans="1:55" ht="21.95" customHeight="1" x14ac:dyDescent="0.25">
      <c r="A35" s="45" t="s">
        <v>61</v>
      </c>
      <c r="B35" s="46" t="s">
        <v>62</v>
      </c>
      <c r="C35" s="46"/>
      <c r="D35" s="46"/>
      <c r="E35" s="46"/>
      <c r="F35" s="4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5">
        <f t="shared" si="0"/>
        <v>0</v>
      </c>
    </row>
    <row r="36" spans="1:55" ht="21.95" customHeight="1" x14ac:dyDescent="0.25">
      <c r="A36" s="45" t="s">
        <v>63</v>
      </c>
      <c r="B36" s="46" t="s">
        <v>179</v>
      </c>
      <c r="C36" s="46"/>
      <c r="D36" s="46"/>
      <c r="E36" s="46"/>
      <c r="F36" s="4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5">
        <f t="shared" si="0"/>
        <v>0</v>
      </c>
    </row>
    <row r="37" spans="1:55" ht="21.95" customHeight="1" x14ac:dyDescent="0.25">
      <c r="A37" s="45" t="s">
        <v>64</v>
      </c>
      <c r="B37" s="46" t="s">
        <v>65</v>
      </c>
      <c r="C37" s="46"/>
      <c r="D37" s="46"/>
      <c r="E37" s="46"/>
      <c r="F37" s="4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5">
        <f t="shared" si="0"/>
        <v>0</v>
      </c>
    </row>
    <row r="38" spans="1:55" ht="21.95" customHeight="1" x14ac:dyDescent="0.25">
      <c r="A38" s="45" t="s">
        <v>66</v>
      </c>
      <c r="B38" s="46" t="s">
        <v>67</v>
      </c>
      <c r="C38" s="46"/>
      <c r="D38" s="46"/>
      <c r="E38" s="46"/>
      <c r="F38" s="4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>
        <f t="shared" si="0"/>
        <v>0</v>
      </c>
    </row>
    <row r="39" spans="1:55" ht="21.95" customHeight="1" x14ac:dyDescent="0.25">
      <c r="A39" s="45" t="s">
        <v>68</v>
      </c>
      <c r="B39" s="46" t="s">
        <v>69</v>
      </c>
      <c r="C39" s="46"/>
      <c r="D39" s="46"/>
      <c r="E39" s="46"/>
      <c r="F39" s="4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5">
        <f t="shared" si="0"/>
        <v>0</v>
      </c>
    </row>
    <row r="40" spans="1:55" ht="21.95" customHeight="1" x14ac:dyDescent="0.25">
      <c r="A40" s="45" t="s">
        <v>70</v>
      </c>
      <c r="B40" s="46" t="s">
        <v>71</v>
      </c>
      <c r="C40" s="46"/>
      <c r="D40" s="46"/>
      <c r="E40" s="46"/>
      <c r="F40" s="4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5">
        <f t="shared" si="0"/>
        <v>0</v>
      </c>
    </row>
    <row r="41" spans="1:55" ht="21.95" customHeight="1" x14ac:dyDescent="0.25">
      <c r="A41" s="45" t="s">
        <v>72</v>
      </c>
      <c r="B41" s="46" t="s">
        <v>73</v>
      </c>
      <c r="C41" s="46"/>
      <c r="D41" s="46"/>
      <c r="E41" s="46"/>
      <c r="F41" s="4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5">
        <f t="shared" si="0"/>
        <v>0</v>
      </c>
    </row>
    <row r="42" spans="1:55" ht="21.95" customHeight="1" x14ac:dyDescent="0.25">
      <c r="A42" s="45"/>
      <c r="B42" s="47"/>
      <c r="C42" s="48"/>
      <c r="D42" s="49"/>
      <c r="E42" s="50"/>
      <c r="F42" s="5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5">
        <f t="shared" si="0"/>
        <v>0</v>
      </c>
    </row>
    <row r="43" spans="1:55" ht="21.95" customHeight="1" x14ac:dyDescent="0.25">
      <c r="A43" s="45"/>
      <c r="B43" s="47"/>
      <c r="C43" s="48"/>
      <c r="D43" s="49"/>
      <c r="E43" s="50"/>
      <c r="F43" s="5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5">
        <f t="shared" si="0"/>
        <v>0</v>
      </c>
    </row>
    <row r="44" spans="1:55" ht="21.95" customHeight="1" x14ac:dyDescent="0.25">
      <c r="A44" s="45"/>
      <c r="B44" s="47"/>
      <c r="C44" s="48"/>
      <c r="D44" s="49"/>
      <c r="E44" s="50"/>
      <c r="F44" s="5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5">
        <f t="shared" si="0"/>
        <v>0</v>
      </c>
    </row>
    <row r="45" spans="1:55" ht="21.95" customHeight="1" x14ac:dyDescent="0.25">
      <c r="A45" s="45"/>
      <c r="B45" s="47"/>
      <c r="C45" s="48"/>
      <c r="D45" s="49"/>
      <c r="E45" s="50"/>
      <c r="F45" s="5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5">
        <f t="shared" si="0"/>
        <v>0</v>
      </c>
    </row>
    <row r="46" spans="1:55" ht="21.95" customHeight="1" x14ac:dyDescent="0.25">
      <c r="A46" s="45"/>
      <c r="B46" s="47"/>
      <c r="C46" s="48"/>
      <c r="D46" s="49"/>
      <c r="E46" s="50"/>
      <c r="F46" s="5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5">
        <f t="shared" si="0"/>
        <v>0</v>
      </c>
    </row>
    <row r="47" spans="1:55" ht="21.95" customHeight="1" x14ac:dyDescent="0.25">
      <c r="A47" s="45"/>
      <c r="B47" s="47"/>
      <c r="C47" s="48"/>
      <c r="D47" s="49"/>
      <c r="E47" s="50"/>
      <c r="F47" s="5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5">
        <f t="shared" si="0"/>
        <v>0</v>
      </c>
    </row>
    <row r="48" spans="1:55" x14ac:dyDescent="0.25">
      <c r="A48" s="38" t="s">
        <v>119</v>
      </c>
      <c r="B48" s="51" t="s">
        <v>120</v>
      </c>
      <c r="C48" s="151"/>
      <c r="D48" s="152"/>
      <c r="E48" s="153"/>
      <c r="F48" s="52"/>
      <c r="G48" s="53">
        <f>SUM(G6:G47)</f>
        <v>0</v>
      </c>
      <c r="H48" s="53">
        <f t="shared" ref="H48:BB48" si="1">SUM(H6:H47)</f>
        <v>0</v>
      </c>
      <c r="I48" s="53">
        <f t="shared" si="1"/>
        <v>0</v>
      </c>
      <c r="J48" s="53">
        <f t="shared" si="1"/>
        <v>0</v>
      </c>
      <c r="K48" s="53">
        <f t="shared" si="1"/>
        <v>0</v>
      </c>
      <c r="L48" s="53">
        <f t="shared" si="1"/>
        <v>0</v>
      </c>
      <c r="M48" s="53">
        <f t="shared" si="1"/>
        <v>0</v>
      </c>
      <c r="N48" s="53">
        <f t="shared" si="1"/>
        <v>0</v>
      </c>
      <c r="O48" s="53">
        <f t="shared" si="1"/>
        <v>0</v>
      </c>
      <c r="P48" s="53">
        <f t="shared" si="1"/>
        <v>0</v>
      </c>
      <c r="Q48" s="53">
        <f t="shared" si="1"/>
        <v>0</v>
      </c>
      <c r="R48" s="53">
        <f t="shared" si="1"/>
        <v>0</v>
      </c>
      <c r="S48" s="53">
        <f t="shared" si="1"/>
        <v>0</v>
      </c>
      <c r="T48" s="53">
        <f t="shared" si="1"/>
        <v>0</v>
      </c>
      <c r="U48" s="53">
        <f t="shared" si="1"/>
        <v>0</v>
      </c>
      <c r="V48" s="53">
        <f t="shared" si="1"/>
        <v>0</v>
      </c>
      <c r="W48" s="53">
        <f t="shared" si="1"/>
        <v>0</v>
      </c>
      <c r="X48" s="53">
        <f t="shared" si="1"/>
        <v>0</v>
      </c>
      <c r="Y48" s="53">
        <f t="shared" si="1"/>
        <v>0</v>
      </c>
      <c r="Z48" s="53">
        <f t="shared" si="1"/>
        <v>0</v>
      </c>
      <c r="AA48" s="53">
        <f t="shared" si="1"/>
        <v>0</v>
      </c>
      <c r="AB48" s="53">
        <f t="shared" si="1"/>
        <v>0</v>
      </c>
      <c r="AC48" s="53">
        <f t="shared" si="1"/>
        <v>0</v>
      </c>
      <c r="AD48" s="53">
        <f t="shared" si="1"/>
        <v>0</v>
      </c>
      <c r="AE48" s="53">
        <f t="shared" si="1"/>
        <v>0</v>
      </c>
      <c r="AF48" s="53">
        <f t="shared" si="1"/>
        <v>0</v>
      </c>
      <c r="AG48" s="53">
        <f t="shared" si="1"/>
        <v>0</v>
      </c>
      <c r="AH48" s="53">
        <f t="shared" si="1"/>
        <v>0</v>
      </c>
      <c r="AI48" s="53">
        <f t="shared" si="1"/>
        <v>0</v>
      </c>
      <c r="AJ48" s="53">
        <f t="shared" si="1"/>
        <v>0</v>
      </c>
      <c r="AK48" s="53">
        <f t="shared" si="1"/>
        <v>0</v>
      </c>
      <c r="AL48" s="53">
        <f t="shared" si="1"/>
        <v>0</v>
      </c>
      <c r="AM48" s="53">
        <f t="shared" si="1"/>
        <v>0</v>
      </c>
      <c r="AN48" s="53">
        <f t="shared" si="1"/>
        <v>0</v>
      </c>
      <c r="AO48" s="53">
        <f t="shared" si="1"/>
        <v>0</v>
      </c>
      <c r="AP48" s="53">
        <f t="shared" si="1"/>
        <v>0</v>
      </c>
      <c r="AQ48" s="53">
        <f t="shared" si="1"/>
        <v>0</v>
      </c>
      <c r="AR48" s="53">
        <f t="shared" si="1"/>
        <v>0</v>
      </c>
      <c r="AS48" s="53">
        <f t="shared" si="1"/>
        <v>0</v>
      </c>
      <c r="AT48" s="53">
        <f t="shared" si="1"/>
        <v>0</v>
      </c>
      <c r="AU48" s="53">
        <f t="shared" si="1"/>
        <v>0</v>
      </c>
      <c r="AV48" s="53">
        <f t="shared" si="1"/>
        <v>0</v>
      </c>
      <c r="AW48" s="53">
        <f t="shared" si="1"/>
        <v>0</v>
      </c>
      <c r="AX48" s="53">
        <f t="shared" si="1"/>
        <v>0</v>
      </c>
      <c r="AY48" s="53">
        <f t="shared" si="1"/>
        <v>0</v>
      </c>
      <c r="AZ48" s="53">
        <f t="shared" si="1"/>
        <v>0</v>
      </c>
      <c r="BA48" s="53">
        <f t="shared" si="1"/>
        <v>0</v>
      </c>
      <c r="BB48" s="53">
        <f t="shared" si="1"/>
        <v>0</v>
      </c>
      <c r="BC48" s="53">
        <f>SUM(BC6:BC47)</f>
        <v>0</v>
      </c>
    </row>
  </sheetData>
  <mergeCells count="22">
    <mergeCell ref="A3:B5"/>
    <mergeCell ref="A1:B1"/>
    <mergeCell ref="G3:BC3"/>
    <mergeCell ref="C48:E48"/>
    <mergeCell ref="C3:E4"/>
    <mergeCell ref="F3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W4:AY4"/>
    <mergeCell ref="AZ4:BB4"/>
    <mergeCell ref="AH4:AJ4"/>
    <mergeCell ref="AK4:AM4"/>
    <mergeCell ref="AN4:AP4"/>
    <mergeCell ref="AQ4:AS4"/>
    <mergeCell ref="AT4:AV4"/>
  </mergeCells>
  <pageMargins left="0.11811023622047245" right="0.11811023622047245" top="0.74803149606299213" bottom="0.15748031496062992" header="0.31496062992125984" footer="0.31496062992125984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7"/>
  <sheetViews>
    <sheetView zoomScale="73" zoomScaleNormal="73" workbookViewId="0">
      <selection activeCell="AT54" sqref="A1:AT54"/>
    </sheetView>
  </sheetViews>
  <sheetFormatPr defaultColWidth="8.7109375" defaultRowHeight="15.75" x14ac:dyDescent="0.25"/>
  <cols>
    <col min="1" max="1" width="8.7109375" style="9"/>
    <col min="2" max="2" width="50.5703125" style="9" customWidth="1"/>
    <col min="3" max="5" width="3.7109375" style="9" customWidth="1"/>
    <col min="6" max="6" width="12" style="9" customWidth="1"/>
    <col min="7" max="7" width="20.7109375" style="9" customWidth="1"/>
    <col min="8" max="8" width="20.28515625" style="9" customWidth="1"/>
    <col min="9" max="9" width="19.85546875" style="9" customWidth="1"/>
    <col min="10" max="18" width="20.7109375" style="9" customWidth="1"/>
    <col min="19" max="19" width="28.140625" style="9" customWidth="1"/>
    <col min="20" max="20" width="23.28515625" style="9" customWidth="1"/>
    <col min="21" max="21" width="25.5703125" style="9" customWidth="1"/>
    <col min="22" max="28" width="20.7109375" style="9" customWidth="1"/>
    <col min="29" max="29" width="24.85546875" style="9" customWidth="1"/>
    <col min="30" max="30" width="20.7109375" style="9" customWidth="1"/>
    <col min="31" max="31" width="30" style="9" customWidth="1"/>
    <col min="32" max="32" width="25.28515625" style="9" customWidth="1"/>
    <col min="33" max="43" width="20.7109375" style="9" customWidth="1"/>
    <col min="44" max="16384" width="8.7109375" style="9"/>
  </cols>
  <sheetData>
    <row r="1" spans="1:43" ht="34.15" customHeight="1" thickBot="1" x14ac:dyDescent="0.3">
      <c r="A1" s="158" t="s">
        <v>75</v>
      </c>
      <c r="B1" s="159"/>
      <c r="C1" s="23"/>
      <c r="D1" s="23"/>
      <c r="E1" s="23"/>
      <c r="F1" s="23"/>
    </row>
    <row r="2" spans="1:4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ht="14.65" customHeight="1" x14ac:dyDescent="0.25">
      <c r="A3" s="160" t="s">
        <v>1</v>
      </c>
      <c r="B3" s="161"/>
      <c r="C3" s="165" t="s">
        <v>92</v>
      </c>
      <c r="D3" s="165"/>
      <c r="E3" s="165"/>
      <c r="F3" s="24" t="s">
        <v>124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</row>
    <row r="4" spans="1:43" ht="180.6" customHeight="1" x14ac:dyDescent="0.25">
      <c r="A4" s="162"/>
      <c r="B4" s="163"/>
      <c r="C4" s="24">
        <v>22</v>
      </c>
      <c r="D4" s="24">
        <v>23</v>
      </c>
      <c r="E4" s="24">
        <v>24</v>
      </c>
      <c r="F4" s="25" t="s">
        <v>125</v>
      </c>
      <c r="G4" s="26" t="s">
        <v>76</v>
      </c>
      <c r="H4" s="26" t="s">
        <v>164</v>
      </c>
      <c r="I4" s="26" t="s">
        <v>144</v>
      </c>
      <c r="J4" s="26" t="s">
        <v>167</v>
      </c>
      <c r="K4" s="26" t="s">
        <v>184</v>
      </c>
      <c r="L4" s="26" t="s">
        <v>160</v>
      </c>
      <c r="M4" s="26" t="s">
        <v>183</v>
      </c>
      <c r="N4" s="26" t="s">
        <v>137</v>
      </c>
      <c r="O4" s="26" t="s">
        <v>189</v>
      </c>
      <c r="P4" s="26" t="s">
        <v>170</v>
      </c>
      <c r="Q4" s="26" t="s">
        <v>152</v>
      </c>
      <c r="R4" s="26" t="s">
        <v>172</v>
      </c>
      <c r="S4" s="26" t="s">
        <v>171</v>
      </c>
      <c r="T4" s="26" t="s">
        <v>153</v>
      </c>
      <c r="U4" s="26" t="s">
        <v>187</v>
      </c>
      <c r="V4" s="26" t="s">
        <v>154</v>
      </c>
      <c r="W4" s="26" t="s">
        <v>173</v>
      </c>
      <c r="X4" s="26" t="s">
        <v>174</v>
      </c>
      <c r="Y4" s="26" t="s">
        <v>175</v>
      </c>
      <c r="Z4" s="26" t="s">
        <v>161</v>
      </c>
      <c r="AA4" s="26" t="s">
        <v>202</v>
      </c>
      <c r="AB4" s="26" t="s">
        <v>181</v>
      </c>
      <c r="AC4" s="26" t="s">
        <v>193</v>
      </c>
      <c r="AD4" s="26" t="s">
        <v>182</v>
      </c>
      <c r="AE4" s="26" t="s">
        <v>185</v>
      </c>
      <c r="AF4" s="26" t="s">
        <v>186</v>
      </c>
      <c r="AG4" s="26" t="s">
        <v>188</v>
      </c>
      <c r="AH4" s="26" t="s">
        <v>204</v>
      </c>
      <c r="AI4" s="26" t="s">
        <v>190</v>
      </c>
      <c r="AJ4" s="26" t="s">
        <v>191</v>
      </c>
      <c r="AK4" s="26" t="s">
        <v>192</v>
      </c>
      <c r="AL4" s="26" t="s">
        <v>194</v>
      </c>
      <c r="AM4" s="26" t="s">
        <v>195</v>
      </c>
      <c r="AN4" s="26" t="s">
        <v>196</v>
      </c>
      <c r="AO4" s="26" t="s">
        <v>197</v>
      </c>
      <c r="AP4" s="26" t="s">
        <v>198</v>
      </c>
      <c r="AQ4" s="27" t="s">
        <v>203</v>
      </c>
    </row>
    <row r="5" spans="1:43" ht="27" customHeight="1" x14ac:dyDescent="0.25">
      <c r="A5" s="92"/>
      <c r="B5" s="93"/>
      <c r="C5" s="94"/>
      <c r="D5" s="94"/>
      <c r="E5" s="94"/>
      <c r="F5" s="95"/>
      <c r="G5" s="98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91">
        <f t="shared" ref="AQ5:AQ47" si="0">SUM(G5:AP5)</f>
        <v>0</v>
      </c>
    </row>
    <row r="6" spans="1:43" ht="27.95" customHeight="1" x14ac:dyDescent="0.25">
      <c r="A6" s="13" t="s">
        <v>4</v>
      </c>
      <c r="B6" s="14" t="s">
        <v>5</v>
      </c>
      <c r="C6" s="14"/>
      <c r="D6" s="14"/>
      <c r="E6" s="14"/>
      <c r="F6" s="14"/>
      <c r="G6" s="99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91">
        <f t="shared" si="0"/>
        <v>0</v>
      </c>
    </row>
    <row r="7" spans="1:43" ht="27.95" customHeight="1" x14ac:dyDescent="0.25">
      <c r="A7" s="13" t="s">
        <v>6</v>
      </c>
      <c r="B7" s="14" t="s">
        <v>7</v>
      </c>
      <c r="C7" s="14"/>
      <c r="D7" s="14"/>
      <c r="E7" s="14"/>
      <c r="F7" s="14"/>
      <c r="G7" s="99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91">
        <f t="shared" si="0"/>
        <v>0</v>
      </c>
    </row>
    <row r="8" spans="1:43" ht="27.95" customHeight="1" x14ac:dyDescent="0.25">
      <c r="A8" s="16" t="s">
        <v>8</v>
      </c>
      <c r="B8" s="14" t="s">
        <v>9</v>
      </c>
      <c r="C8" s="14"/>
      <c r="D8" s="14"/>
      <c r="E8" s="14"/>
      <c r="F8" s="14"/>
      <c r="G8" s="99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f>2400-2400</f>
        <v>0</v>
      </c>
      <c r="U8" s="15"/>
      <c r="V8" s="15"/>
      <c r="W8" s="15"/>
      <c r="X8" s="15"/>
      <c r="Y8" s="100"/>
      <c r="Z8" s="15"/>
      <c r="AA8" s="15"/>
      <c r="AB8" s="15"/>
      <c r="AC8" s="15"/>
      <c r="AD8" s="15"/>
      <c r="AE8" s="15"/>
      <c r="AF8" s="15">
        <v>20000</v>
      </c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91">
        <f t="shared" si="0"/>
        <v>20000</v>
      </c>
    </row>
    <row r="9" spans="1:43" ht="27.95" customHeight="1" x14ac:dyDescent="0.25">
      <c r="A9" s="13" t="s">
        <v>10</v>
      </c>
      <c r="B9" s="14" t="s">
        <v>11</v>
      </c>
      <c r="C9" s="14"/>
      <c r="D9" s="14"/>
      <c r="E9" s="14"/>
      <c r="F9" s="14"/>
      <c r="G9" s="99"/>
      <c r="H9" s="15"/>
      <c r="I9" s="15"/>
      <c r="J9" s="15"/>
      <c r="K9" s="15"/>
      <c r="L9" s="15">
        <f>650000+290000</f>
        <v>940000</v>
      </c>
      <c r="M9" s="15"/>
      <c r="N9" s="15"/>
      <c r="O9" s="15"/>
      <c r="P9" s="15"/>
      <c r="Q9" s="15">
        <v>122955.36</v>
      </c>
      <c r="R9" s="15"/>
      <c r="S9" s="15"/>
      <c r="T9" s="15"/>
      <c r="U9" s="15">
        <f>50000+50000</f>
        <v>100000</v>
      </c>
      <c r="V9" s="15"/>
      <c r="W9" s="15"/>
      <c r="X9" s="15"/>
      <c r="Y9" s="100">
        <f>919392.23+240270.56</f>
        <v>1159662.79</v>
      </c>
      <c r="Z9" s="15"/>
      <c r="AA9" s="15"/>
      <c r="AB9" s="15"/>
      <c r="AC9" s="15"/>
      <c r="AD9" s="15"/>
      <c r="AE9" s="15"/>
      <c r="AF9" s="15"/>
      <c r="AG9" s="15">
        <f>36000+70000</f>
        <v>106000</v>
      </c>
      <c r="AH9" s="15"/>
      <c r="AI9" s="15"/>
      <c r="AJ9" s="15"/>
      <c r="AK9" s="15"/>
      <c r="AL9" s="15"/>
      <c r="AM9" s="15"/>
      <c r="AN9" s="15"/>
      <c r="AO9" s="15"/>
      <c r="AP9" s="15"/>
      <c r="AQ9" s="91">
        <f t="shared" si="0"/>
        <v>2428618.1500000004</v>
      </c>
    </row>
    <row r="10" spans="1:43" ht="27.95" customHeight="1" x14ac:dyDescent="0.25">
      <c r="A10" s="13" t="s">
        <v>12</v>
      </c>
      <c r="B10" s="14" t="s">
        <v>13</v>
      </c>
      <c r="C10" s="14"/>
      <c r="D10" s="14"/>
      <c r="E10" s="14"/>
      <c r="F10" s="14"/>
      <c r="G10" s="99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664332.93000000005</v>
      </c>
      <c r="V10" s="15"/>
      <c r="W10" s="15"/>
      <c r="X10" s="15"/>
      <c r="Y10" s="100"/>
      <c r="Z10" s="15"/>
      <c r="AA10" s="15"/>
      <c r="AB10" s="15"/>
      <c r="AC10" s="15"/>
      <c r="AD10" s="15"/>
      <c r="AE10" s="15"/>
      <c r="AF10" s="15"/>
      <c r="AG10" s="15">
        <f>250000+193864.44</f>
        <v>443864.44</v>
      </c>
      <c r="AH10" s="15"/>
      <c r="AI10" s="15"/>
      <c r="AJ10" s="15"/>
      <c r="AK10" s="15"/>
      <c r="AL10" s="15"/>
      <c r="AM10" s="15"/>
      <c r="AN10" s="15"/>
      <c r="AO10" s="15"/>
      <c r="AP10" s="15"/>
      <c r="AQ10" s="91">
        <f t="shared" si="0"/>
        <v>1108197.3700000001</v>
      </c>
    </row>
    <row r="11" spans="1:43" ht="27.6" customHeight="1" x14ac:dyDescent="0.25">
      <c r="A11" s="13" t="s">
        <v>14</v>
      </c>
      <c r="B11" s="14" t="s">
        <v>15</v>
      </c>
      <c r="C11" s="14"/>
      <c r="D11" s="14"/>
      <c r="E11" s="14"/>
      <c r="F11" s="14"/>
      <c r="G11" s="99"/>
      <c r="H11" s="15"/>
      <c r="I11" s="15"/>
      <c r="J11" s="15"/>
      <c r="K11" s="15"/>
      <c r="L11" s="15"/>
      <c r="M11" s="15"/>
      <c r="N11" s="15"/>
      <c r="O11" s="15">
        <v>381737.3</v>
      </c>
      <c r="P11" s="15"/>
      <c r="Q11" s="15"/>
      <c r="R11" s="15"/>
      <c r="S11" s="15"/>
      <c r="T11" s="15"/>
      <c r="U11" s="15">
        <v>20210.64</v>
      </c>
      <c r="V11" s="15"/>
      <c r="W11" s="15"/>
      <c r="X11" s="15"/>
      <c r="Y11" s="100"/>
      <c r="Z11" s="15"/>
      <c r="AA11" s="15"/>
      <c r="AB11" s="15"/>
      <c r="AC11" s="15"/>
      <c r="AD11" s="15"/>
      <c r="AE11" s="15"/>
      <c r="AF11" s="15"/>
      <c r="AG11" s="15">
        <v>200000</v>
      </c>
      <c r="AH11" s="15"/>
      <c r="AI11" s="15">
        <v>382758.41</v>
      </c>
      <c r="AJ11" s="15"/>
      <c r="AK11" s="15"/>
      <c r="AL11" s="15"/>
      <c r="AM11" s="15">
        <f>321435*60/100</f>
        <v>192861</v>
      </c>
      <c r="AN11" s="15"/>
      <c r="AO11" s="15"/>
      <c r="AP11" s="15"/>
      <c r="AQ11" s="91">
        <f t="shared" si="0"/>
        <v>1177567.3499999999</v>
      </c>
    </row>
    <row r="12" spans="1:43" ht="27.6" customHeight="1" x14ac:dyDescent="0.25">
      <c r="A12" s="13" t="s">
        <v>16</v>
      </c>
      <c r="B12" s="14" t="s">
        <v>17</v>
      </c>
      <c r="C12" s="14"/>
      <c r="D12" s="14"/>
      <c r="E12" s="14"/>
      <c r="F12" s="14"/>
      <c r="G12" s="99">
        <f>70500+70500+70500</f>
        <v>211500</v>
      </c>
      <c r="H12" s="15"/>
      <c r="I12" s="15"/>
      <c r="J12" s="15"/>
      <c r="K12" s="15"/>
      <c r="L12" s="15"/>
      <c r="M12" s="15"/>
      <c r="N12" s="15"/>
      <c r="O12" s="15"/>
      <c r="P12" s="15"/>
      <c r="Q12" s="15">
        <f>83506</f>
        <v>83506</v>
      </c>
      <c r="R12" s="15"/>
      <c r="S12" s="15"/>
      <c r="T12" s="15"/>
      <c r="U12" s="15">
        <v>126989.08</v>
      </c>
      <c r="V12" s="15"/>
      <c r="W12" s="15"/>
      <c r="X12" s="15"/>
      <c r="Y12" s="100"/>
      <c r="Z12" s="15"/>
      <c r="AA12" s="15"/>
      <c r="AB12" s="15"/>
      <c r="AC12" s="15"/>
      <c r="AD12" s="15"/>
      <c r="AE12" s="15"/>
      <c r="AF12" s="15"/>
      <c r="AG12" s="15">
        <f>60202.12+83069.93+11000</f>
        <v>154272.04999999999</v>
      </c>
      <c r="AH12" s="15"/>
      <c r="AI12" s="15"/>
      <c r="AJ12" s="15"/>
      <c r="AK12" s="15"/>
      <c r="AL12" s="15"/>
      <c r="AM12" s="15"/>
      <c r="AN12" s="15"/>
      <c r="AP12" s="15"/>
      <c r="AQ12" s="91">
        <f t="shared" si="0"/>
        <v>576267.13</v>
      </c>
    </row>
    <row r="13" spans="1:43" ht="27.95" customHeight="1" x14ac:dyDescent="0.25">
      <c r="A13" s="13" t="s">
        <v>18</v>
      </c>
      <c r="B13" s="14" t="s">
        <v>19</v>
      </c>
      <c r="C13" s="14"/>
      <c r="D13" s="14"/>
      <c r="E13" s="14"/>
      <c r="F13" s="14"/>
      <c r="G13" s="9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00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91">
        <f t="shared" si="0"/>
        <v>0</v>
      </c>
    </row>
    <row r="14" spans="1:43" ht="27.95" customHeight="1" x14ac:dyDescent="0.25">
      <c r="A14" s="16" t="s">
        <v>20</v>
      </c>
      <c r="B14" s="29" t="s">
        <v>21</v>
      </c>
      <c r="C14" s="29"/>
      <c r="D14" s="29"/>
      <c r="E14" s="29"/>
      <c r="F14" s="29"/>
      <c r="G14" s="99"/>
      <c r="H14" s="15"/>
      <c r="I14" s="15"/>
      <c r="J14" s="15"/>
      <c r="K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00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91">
        <f t="shared" si="0"/>
        <v>0</v>
      </c>
    </row>
    <row r="15" spans="1:43" ht="35.25" customHeight="1" x14ac:dyDescent="0.25">
      <c r="A15" s="13" t="s">
        <v>22</v>
      </c>
      <c r="B15" s="14" t="s">
        <v>159</v>
      </c>
      <c r="C15" s="14"/>
      <c r="D15" s="14"/>
      <c r="E15" s="14"/>
      <c r="F15" s="14"/>
      <c r="G15" s="99">
        <v>710000</v>
      </c>
      <c r="H15" s="15"/>
      <c r="I15" s="15"/>
      <c r="J15" s="15"/>
      <c r="K15" s="15"/>
      <c r="L15" s="15">
        <f>405000+120000-405000+50000+306000</f>
        <v>476000</v>
      </c>
      <c r="M15" s="15"/>
      <c r="N15" s="15">
        <f>80236.28+107723.02</f>
        <v>187959.3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00"/>
      <c r="Z15" s="15">
        <f>19376.38+19376.38+38752.74</f>
        <v>77505.5</v>
      </c>
      <c r="AA15" s="15"/>
      <c r="AB15" s="15">
        <f>19376.38+19376.37+38752.75+31517.69</f>
        <v>109023.19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91">
        <f t="shared" si="0"/>
        <v>1560487.99</v>
      </c>
    </row>
    <row r="16" spans="1:43" ht="27.6" customHeight="1" x14ac:dyDescent="0.25">
      <c r="A16" s="13" t="s">
        <v>24</v>
      </c>
      <c r="B16" s="14" t="s">
        <v>25</v>
      </c>
      <c r="C16" s="14"/>
      <c r="D16" s="14"/>
      <c r="E16" s="14"/>
      <c r="F16" s="14"/>
      <c r="G16" s="99"/>
      <c r="H16" s="15"/>
      <c r="I16" s="15"/>
      <c r="J16" s="15"/>
      <c r="K16" s="15"/>
      <c r="L16" s="15">
        <v>60000</v>
      </c>
      <c r="M16" s="15"/>
      <c r="N16" s="15"/>
      <c r="O16" s="15"/>
      <c r="P16" s="15"/>
      <c r="Q16" s="15"/>
      <c r="R16" s="15"/>
      <c r="S16" s="15"/>
      <c r="T16" s="15"/>
      <c r="U16" s="15"/>
      <c r="W16" s="101">
        <f>46500+34024.01</f>
        <v>80524.010000000009</v>
      </c>
      <c r="X16" s="28"/>
      <c r="Z16" s="15"/>
      <c r="AA16" s="15">
        <f>147490.4+257842.8-257842.8+293600</f>
        <v>441090.39999999997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>
        <v>55000</v>
      </c>
      <c r="AL16" s="15"/>
      <c r="AM16" s="15">
        <v>128574</v>
      </c>
      <c r="AN16" s="15"/>
      <c r="AO16" s="15"/>
      <c r="AP16" s="15"/>
      <c r="AQ16" s="91">
        <f t="shared" si="0"/>
        <v>765188.40999999992</v>
      </c>
    </row>
    <row r="17" spans="1:43" ht="27.95" customHeight="1" x14ac:dyDescent="0.25">
      <c r="A17" s="13" t="s">
        <v>26</v>
      </c>
      <c r="B17" s="14" t="s">
        <v>27</v>
      </c>
      <c r="C17" s="14"/>
      <c r="D17" s="14"/>
      <c r="E17" s="14"/>
      <c r="F17" s="14"/>
      <c r="G17" s="99"/>
      <c r="H17" s="15">
        <f>100000+100000+338896</f>
        <v>538896</v>
      </c>
      <c r="I17" s="15"/>
      <c r="J17" s="15"/>
      <c r="K17" s="15"/>
      <c r="L17" s="15">
        <f>750000</f>
        <v>750000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00"/>
      <c r="Z17" s="15"/>
      <c r="AA17" s="15"/>
      <c r="AB17" s="15"/>
      <c r="AC17" s="15">
        <f>769173.26+9000</f>
        <v>778173.26</v>
      </c>
      <c r="AD17" s="15"/>
      <c r="AE17" s="15"/>
      <c r="AF17" s="15"/>
      <c r="AG17" s="15"/>
      <c r="AH17" s="15"/>
      <c r="AI17" s="15"/>
      <c r="AJ17" s="15"/>
      <c r="AK17" s="15"/>
      <c r="AL17" s="15">
        <v>671953.86</v>
      </c>
      <c r="AM17" s="15"/>
      <c r="AO17" s="15"/>
      <c r="AP17" s="15"/>
      <c r="AQ17" s="91">
        <f t="shared" si="0"/>
        <v>2739023.12</v>
      </c>
    </row>
    <row r="18" spans="1:43" ht="27.95" customHeight="1" x14ac:dyDescent="0.25">
      <c r="A18" s="13" t="s">
        <v>28</v>
      </c>
      <c r="B18" s="14" t="s">
        <v>29</v>
      </c>
      <c r="C18" s="14"/>
      <c r="D18" s="14"/>
      <c r="E18" s="14"/>
      <c r="F18" s="14"/>
      <c r="G18" s="99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0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>
        <v>106869.64</v>
      </c>
      <c r="AM18" s="15"/>
      <c r="AN18" s="15"/>
      <c r="AO18" s="15"/>
      <c r="AP18" s="15"/>
      <c r="AQ18" s="91">
        <f t="shared" si="0"/>
        <v>106869.64</v>
      </c>
    </row>
    <row r="19" spans="1:43" ht="27.95" customHeight="1" x14ac:dyDescent="0.25">
      <c r="A19" s="13" t="s">
        <v>30</v>
      </c>
      <c r="B19" s="14" t="s">
        <v>31</v>
      </c>
      <c r="C19" s="14"/>
      <c r="D19" s="14"/>
      <c r="E19" s="14"/>
      <c r="F19" s="14"/>
      <c r="G19" s="102">
        <f>110000+110000+110000</f>
        <v>330000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00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91">
        <f t="shared" si="0"/>
        <v>330000</v>
      </c>
    </row>
    <row r="20" spans="1:43" ht="27.95" customHeight="1" x14ac:dyDescent="0.25">
      <c r="A20" s="16" t="s">
        <v>32</v>
      </c>
      <c r="B20" s="29" t="s">
        <v>33</v>
      </c>
      <c r="C20" s="29"/>
      <c r="D20" s="29"/>
      <c r="E20" s="29"/>
      <c r="F20" s="29"/>
      <c r="G20" s="9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0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91">
        <f t="shared" si="0"/>
        <v>0</v>
      </c>
    </row>
    <row r="21" spans="1:43" ht="27.95" customHeight="1" x14ac:dyDescent="0.25">
      <c r="A21" s="16" t="s">
        <v>34</v>
      </c>
      <c r="B21" s="29" t="s">
        <v>35</v>
      </c>
      <c r="C21" s="29"/>
      <c r="D21" s="29"/>
      <c r="E21" s="29"/>
      <c r="F21" s="29"/>
      <c r="G21" s="99"/>
      <c r="H21" s="15"/>
      <c r="I21" s="15"/>
      <c r="J21" s="15"/>
      <c r="K21" s="15"/>
      <c r="L21" s="15">
        <f>7500000+560000</f>
        <v>8060000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0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91">
        <f t="shared" si="0"/>
        <v>8060000</v>
      </c>
    </row>
    <row r="22" spans="1:43" ht="27.95" customHeight="1" x14ac:dyDescent="0.25">
      <c r="A22" s="16" t="s">
        <v>36</v>
      </c>
      <c r="B22" s="29" t="s">
        <v>37</v>
      </c>
      <c r="C22" s="29"/>
      <c r="D22" s="29"/>
      <c r="E22" s="29"/>
      <c r="F22" s="29"/>
      <c r="G22" s="99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91">
        <f t="shared" si="0"/>
        <v>0</v>
      </c>
    </row>
    <row r="23" spans="1:43" ht="27.95" customHeight="1" x14ac:dyDescent="0.25">
      <c r="A23" s="19" t="s">
        <v>38</v>
      </c>
      <c r="B23" s="29" t="s">
        <v>39</v>
      </c>
      <c r="C23" s="29"/>
      <c r="D23" s="29"/>
      <c r="E23" s="29"/>
      <c r="F23" s="29"/>
      <c r="G23" s="99"/>
      <c r="H23" s="15"/>
      <c r="I23" s="15"/>
      <c r="J23" s="15"/>
      <c r="K23" s="15"/>
      <c r="L23" s="15"/>
      <c r="M23" s="15"/>
      <c r="N23" s="15"/>
      <c r="O23" s="15"/>
      <c r="P23" s="15"/>
      <c r="Q23" s="28"/>
      <c r="R23" s="28"/>
      <c r="S23" s="28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91">
        <f t="shared" si="0"/>
        <v>0</v>
      </c>
    </row>
    <row r="24" spans="1:43" ht="27.95" customHeight="1" x14ac:dyDescent="0.25">
      <c r="A24" s="16" t="s">
        <v>40</v>
      </c>
      <c r="B24" s="29" t="s">
        <v>41</v>
      </c>
      <c r="C24" s="29"/>
      <c r="D24" s="29"/>
      <c r="E24" s="29"/>
      <c r="F24" s="29"/>
      <c r="G24" s="99"/>
      <c r="H24" s="15"/>
      <c r="I24" s="15"/>
      <c r="J24" s="15"/>
      <c r="K24" s="15"/>
      <c r="L24" s="15"/>
      <c r="M24" s="15"/>
      <c r="N24" s="15">
        <v>30540.7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>
        <v>77505.5</v>
      </c>
      <c r="AA24" s="15"/>
      <c r="AB24" s="15">
        <f>155011-AB15</f>
        <v>45987.81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91">
        <f t="shared" si="0"/>
        <v>154034.01</v>
      </c>
    </row>
    <row r="25" spans="1:43" ht="27.95" customHeight="1" x14ac:dyDescent="0.25">
      <c r="A25" s="16" t="s">
        <v>42</v>
      </c>
      <c r="B25" s="29" t="s">
        <v>169</v>
      </c>
      <c r="C25" s="29"/>
      <c r="D25" s="29"/>
      <c r="E25" s="29"/>
      <c r="F25" s="29"/>
      <c r="G25" s="99"/>
      <c r="H25" s="15">
        <f>554596.88+233978</f>
        <v>788574.88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>
        <v>61704.55</v>
      </c>
      <c r="V25" s="15"/>
      <c r="W25" s="15"/>
      <c r="X25" s="15"/>
      <c r="Y25" s="15"/>
      <c r="Z25" s="15"/>
      <c r="AA25" s="15"/>
      <c r="AB25" s="15"/>
      <c r="AC25" s="15">
        <v>717000</v>
      </c>
      <c r="AD25" s="15"/>
      <c r="AE25" s="15"/>
      <c r="AF25" s="15"/>
      <c r="AG25" s="15">
        <v>65720.710000000006</v>
      </c>
      <c r="AH25" s="15"/>
      <c r="AI25" s="15"/>
      <c r="AJ25" s="15"/>
      <c r="AK25" s="15"/>
      <c r="AL25" s="15"/>
      <c r="AM25" s="15"/>
      <c r="AN25" s="15"/>
      <c r="AO25" s="15"/>
      <c r="AP25" s="15"/>
      <c r="AQ25" s="91">
        <f t="shared" si="0"/>
        <v>1633000.1400000001</v>
      </c>
    </row>
    <row r="26" spans="1:43" ht="27.95" customHeight="1" x14ac:dyDescent="0.25">
      <c r="A26" s="19" t="s">
        <v>44</v>
      </c>
      <c r="B26" s="29" t="s">
        <v>45</v>
      </c>
      <c r="C26" s="29"/>
      <c r="D26" s="29"/>
      <c r="E26" s="29"/>
      <c r="F26" s="29"/>
      <c r="G26" s="99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91">
        <f t="shared" si="0"/>
        <v>0</v>
      </c>
    </row>
    <row r="27" spans="1:43" ht="27.95" customHeight="1" x14ac:dyDescent="0.25">
      <c r="A27" s="19" t="s">
        <v>46</v>
      </c>
      <c r="B27" s="29" t="s">
        <v>47</v>
      </c>
      <c r="C27" s="29"/>
      <c r="D27" s="29"/>
      <c r="E27" s="29"/>
      <c r="F27" s="29"/>
      <c r="G27" s="9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91">
        <f t="shared" si="0"/>
        <v>0</v>
      </c>
    </row>
    <row r="28" spans="1:43" ht="27.95" customHeight="1" x14ac:dyDescent="0.25">
      <c r="A28" s="19" t="s">
        <v>48</v>
      </c>
      <c r="B28" s="29" t="s">
        <v>49</v>
      </c>
      <c r="C28" s="29"/>
      <c r="D28" s="29"/>
      <c r="E28" s="29"/>
      <c r="F28" s="29"/>
      <c r="G28" s="99"/>
      <c r="H28" s="15"/>
      <c r="I28" s="15"/>
      <c r="J28" s="15"/>
      <c r="K28" s="15"/>
      <c r="L28" s="15"/>
      <c r="M28" s="15"/>
      <c r="N28" s="15"/>
      <c r="O28" s="15"/>
      <c r="P28" s="15"/>
      <c r="Q28" s="22">
        <v>27548.19</v>
      </c>
      <c r="R28" s="15">
        <f>102000+40.81</f>
        <v>102040.81</v>
      </c>
      <c r="S28" s="15">
        <v>25000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91">
        <f t="shared" si="0"/>
        <v>154589</v>
      </c>
    </row>
    <row r="29" spans="1:43" ht="27.95" customHeight="1" x14ac:dyDescent="0.25">
      <c r="A29" s="19" t="s">
        <v>50</v>
      </c>
      <c r="B29" s="29" t="s">
        <v>51</v>
      </c>
      <c r="C29" s="29"/>
      <c r="D29" s="29"/>
      <c r="E29" s="29"/>
      <c r="F29" s="29"/>
      <c r="G29" s="99"/>
      <c r="H29" s="15"/>
      <c r="I29" s="15"/>
      <c r="J29" s="15"/>
      <c r="K29" s="15"/>
      <c r="M29" s="15"/>
      <c r="N29" s="15"/>
      <c r="O29" s="15"/>
      <c r="P29" s="15"/>
      <c r="Q29" s="15"/>
      <c r="R29" s="15"/>
      <c r="S29" s="15"/>
      <c r="T29" s="15"/>
      <c r="U29" s="15"/>
      <c r="V29" s="103">
        <f>1500000+1500000+1500000+1500000</f>
        <v>6000000</v>
      </c>
      <c r="W29" s="103"/>
      <c r="X29" s="103"/>
      <c r="Y29" s="103"/>
      <c r="Z29" s="15"/>
      <c r="AA29" s="15"/>
      <c r="AB29" s="15"/>
      <c r="AC29" s="15"/>
      <c r="AD29" s="15"/>
      <c r="AE29" s="15"/>
      <c r="AF29" s="15"/>
      <c r="AG29" s="15"/>
      <c r="AH29" s="15">
        <v>26548.7</v>
      </c>
      <c r="AI29" s="15"/>
      <c r="AJ29" s="15"/>
      <c r="AK29" s="15"/>
      <c r="AL29" s="15"/>
      <c r="AM29" s="15"/>
      <c r="AN29" s="15"/>
      <c r="AO29" s="15"/>
      <c r="AP29" s="15"/>
      <c r="AQ29" s="91">
        <f t="shared" si="0"/>
        <v>6026548.7000000002</v>
      </c>
    </row>
    <row r="30" spans="1:43" ht="27.95" customHeight="1" x14ac:dyDescent="0.25">
      <c r="A30" s="19" t="s">
        <v>52</v>
      </c>
      <c r="B30" s="29" t="s">
        <v>53</v>
      </c>
      <c r="C30" s="29"/>
      <c r="D30" s="29"/>
      <c r="E30" s="29"/>
      <c r="F30" s="29"/>
      <c r="G30" s="9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91">
        <f t="shared" si="0"/>
        <v>0</v>
      </c>
    </row>
    <row r="31" spans="1:43" ht="27.95" customHeight="1" x14ac:dyDescent="0.25">
      <c r="A31" s="19" t="s">
        <v>54</v>
      </c>
      <c r="B31" s="29" t="s">
        <v>176</v>
      </c>
      <c r="C31" s="29"/>
      <c r="D31" s="29"/>
      <c r="E31" s="29"/>
      <c r="F31" s="29"/>
      <c r="G31" s="9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91">
        <f t="shared" si="0"/>
        <v>0</v>
      </c>
    </row>
    <row r="32" spans="1:43" ht="38.25" customHeight="1" x14ac:dyDescent="0.25">
      <c r="A32" s="19" t="s">
        <v>55</v>
      </c>
      <c r="B32" s="29" t="s">
        <v>56</v>
      </c>
      <c r="C32" s="29"/>
      <c r="D32" s="29"/>
      <c r="E32" s="29"/>
      <c r="F32" s="29"/>
      <c r="G32" s="99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91">
        <f t="shared" si="0"/>
        <v>0</v>
      </c>
    </row>
    <row r="33" spans="1:43" ht="27.95" customHeight="1" x14ac:dyDescent="0.25">
      <c r="A33" s="19" t="s">
        <v>57</v>
      </c>
      <c r="B33" s="29" t="s">
        <v>58</v>
      </c>
      <c r="C33" s="29"/>
      <c r="D33" s="29"/>
      <c r="E33" s="29"/>
      <c r="F33" s="29"/>
      <c r="G33" s="9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91">
        <f t="shared" si="0"/>
        <v>0</v>
      </c>
    </row>
    <row r="34" spans="1:43" ht="27.95" customHeight="1" x14ac:dyDescent="0.25">
      <c r="A34" s="19" t="s">
        <v>59</v>
      </c>
      <c r="B34" s="29" t="s">
        <v>60</v>
      </c>
      <c r="C34" s="29"/>
      <c r="D34" s="29"/>
      <c r="E34" s="29"/>
      <c r="F34" s="29"/>
      <c r="G34" s="99"/>
      <c r="H34" s="15"/>
      <c r="I34" s="15"/>
      <c r="J34" s="15"/>
      <c r="K34" s="15"/>
      <c r="L34" s="15"/>
      <c r="M34" s="15"/>
      <c r="N34" s="15"/>
      <c r="O34" s="15"/>
      <c r="P34" s="15">
        <f>960+960+450+960+1000+450+20000</f>
        <v>24780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91">
        <f t="shared" si="0"/>
        <v>24780</v>
      </c>
    </row>
    <row r="35" spans="1:43" ht="27.95" customHeight="1" x14ac:dyDescent="0.25">
      <c r="A35" s="19" t="s">
        <v>61</v>
      </c>
      <c r="B35" s="29" t="s">
        <v>62</v>
      </c>
      <c r="C35" s="29"/>
      <c r="D35" s="29"/>
      <c r="E35" s="29"/>
      <c r="F35" s="29"/>
      <c r="G35" s="102">
        <v>1430000</v>
      </c>
      <c r="H35" s="104"/>
      <c r="I35" s="104"/>
      <c r="J35" s="104"/>
      <c r="K35" s="104">
        <f>279845+15000+80000+60000+95478+90000+180000+120000-95478-176863.25-102981.75</f>
        <v>545000</v>
      </c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>
        <f>95478+176863.3+80000+15000+180000+120000+100000+100000+115000</f>
        <v>982341.3</v>
      </c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91">
        <f t="shared" si="0"/>
        <v>2957341.3</v>
      </c>
    </row>
    <row r="36" spans="1:43" ht="43.5" customHeight="1" x14ac:dyDescent="0.25">
      <c r="A36" s="19" t="s">
        <v>63</v>
      </c>
      <c r="B36" s="29" t="s">
        <v>177</v>
      </c>
      <c r="C36" s="29"/>
      <c r="D36" s="29"/>
      <c r="E36" s="29"/>
      <c r="F36" s="29"/>
      <c r="G36" s="102"/>
      <c r="H36" s="104"/>
      <c r="I36" s="104"/>
      <c r="J36" s="104"/>
      <c r="K36" s="104"/>
      <c r="L36" s="104">
        <v>1200000</v>
      </c>
      <c r="M36" s="104">
        <f>198385.77+66215.55</f>
        <v>264601.32</v>
      </c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>
        <v>98129.76</v>
      </c>
      <c r="AE36" s="104"/>
      <c r="AF36" s="104"/>
      <c r="AG36" s="104"/>
      <c r="AH36" s="104"/>
      <c r="AI36" s="104"/>
      <c r="AJ36" s="104"/>
      <c r="AK36" s="104"/>
      <c r="AL36" s="104"/>
      <c r="AM36" s="104"/>
      <c r="AN36" s="15">
        <v>1032000</v>
      </c>
      <c r="AO36" s="15">
        <v>4235888.6100000003</v>
      </c>
      <c r="AP36" s="104"/>
      <c r="AQ36" s="91">
        <f t="shared" si="0"/>
        <v>6830619.6900000004</v>
      </c>
    </row>
    <row r="37" spans="1:43" ht="27.95" customHeight="1" x14ac:dyDescent="0.25">
      <c r="A37" s="19" t="s">
        <v>64</v>
      </c>
      <c r="B37" s="29" t="s">
        <v>65</v>
      </c>
      <c r="C37" s="29"/>
      <c r="D37" s="29"/>
      <c r="E37" s="29"/>
      <c r="F37" s="29"/>
      <c r="G37" s="102"/>
      <c r="H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91">
        <f t="shared" si="0"/>
        <v>0</v>
      </c>
    </row>
    <row r="38" spans="1:43" ht="27.95" customHeight="1" x14ac:dyDescent="0.25">
      <c r="A38" s="19" t="s">
        <v>66</v>
      </c>
      <c r="B38" s="29" t="s">
        <v>67</v>
      </c>
      <c r="C38" s="29"/>
      <c r="D38" s="29"/>
      <c r="E38" s="29"/>
      <c r="F38" s="29"/>
      <c r="G38" s="102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91">
        <f t="shared" si="0"/>
        <v>0</v>
      </c>
    </row>
    <row r="39" spans="1:43" ht="42.75" customHeight="1" x14ac:dyDescent="0.25">
      <c r="A39" s="19" t="s">
        <v>68</v>
      </c>
      <c r="B39" s="29" t="s">
        <v>168</v>
      </c>
      <c r="C39" s="29"/>
      <c r="D39" s="29"/>
      <c r="E39" s="29"/>
      <c r="F39" s="29"/>
      <c r="G39" s="102"/>
      <c r="H39" s="104"/>
      <c r="I39" s="9">
        <f>510000+153759.46</f>
        <v>663759.46</v>
      </c>
      <c r="J39" s="104">
        <f>246411.93+145616.74+102105.8</f>
        <v>494134.47</v>
      </c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>
        <f>184316.4-50766.5</f>
        <v>133549.9</v>
      </c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>
        <v>186452.33</v>
      </c>
      <c r="AK39" s="104"/>
      <c r="AL39" s="104"/>
      <c r="AM39" s="104"/>
      <c r="AN39" s="104"/>
      <c r="AO39" s="104"/>
      <c r="AP39" s="104"/>
      <c r="AQ39" s="91">
        <f t="shared" si="0"/>
        <v>1477896.16</v>
      </c>
    </row>
    <row r="40" spans="1:43" ht="27.95" customHeight="1" x14ac:dyDescent="0.25">
      <c r="A40" s="19" t="s">
        <v>70</v>
      </c>
      <c r="B40" s="29" t="s">
        <v>71</v>
      </c>
      <c r="C40" s="29"/>
      <c r="D40" s="29"/>
      <c r="E40" s="29"/>
      <c r="F40" s="29"/>
      <c r="G40" s="102"/>
      <c r="H40" s="104"/>
      <c r="I40" s="15"/>
      <c r="J40" s="15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91">
        <f t="shared" si="0"/>
        <v>0</v>
      </c>
    </row>
    <row r="41" spans="1:43" ht="38.25" customHeight="1" x14ac:dyDescent="0.25">
      <c r="A41" s="19" t="s">
        <v>72</v>
      </c>
      <c r="B41" s="29" t="s">
        <v>73</v>
      </c>
      <c r="C41" s="29"/>
      <c r="D41" s="29"/>
      <c r="E41" s="29"/>
      <c r="F41" s="29"/>
      <c r="G41" s="102"/>
      <c r="H41" s="15">
        <v>13359.12</v>
      </c>
      <c r="I41" s="33">
        <v>13564.11</v>
      </c>
      <c r="J41" s="15">
        <v>5028.8100000000004</v>
      </c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5">
        <v>30513.74</v>
      </c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91">
        <f t="shared" si="0"/>
        <v>62465.780000000006</v>
      </c>
    </row>
    <row r="42" spans="1:43" ht="39.75" customHeight="1" x14ac:dyDescent="0.25">
      <c r="A42" s="19" t="s">
        <v>77</v>
      </c>
      <c r="B42" s="29" t="s">
        <v>201</v>
      </c>
      <c r="C42" s="29"/>
      <c r="D42" s="29"/>
      <c r="E42" s="29"/>
      <c r="F42" s="29"/>
      <c r="G42" s="102"/>
      <c r="H42" s="104"/>
      <c r="I42" s="15"/>
      <c r="J42" s="15"/>
      <c r="K42" s="15"/>
      <c r="L42" s="15"/>
      <c r="M42" s="15"/>
      <c r="N42" s="15"/>
      <c r="O42" s="15"/>
      <c r="Q42" s="15"/>
      <c r="R42" s="15"/>
      <c r="S42" s="15"/>
      <c r="T42" s="15"/>
      <c r="V42" s="15"/>
      <c r="W42" s="15"/>
      <c r="X42" s="15"/>
      <c r="Y42" s="15"/>
      <c r="Z42" s="15"/>
      <c r="AA42" s="15"/>
      <c r="AB42" s="15"/>
      <c r="AC42" s="104"/>
      <c r="AD42" s="15"/>
      <c r="AE42" s="15"/>
      <c r="AF42" s="15"/>
      <c r="AH42" s="15"/>
      <c r="AI42" s="15"/>
      <c r="AJ42" s="15"/>
      <c r="AK42" s="15"/>
      <c r="AL42" s="15"/>
      <c r="AM42" s="15"/>
      <c r="AN42" s="15"/>
      <c r="AO42" s="15"/>
      <c r="AP42" s="15">
        <v>6000</v>
      </c>
      <c r="AQ42" s="91">
        <f t="shared" si="0"/>
        <v>6000</v>
      </c>
    </row>
    <row r="43" spans="1:43" ht="27.95" customHeight="1" x14ac:dyDescent="0.25">
      <c r="A43" s="19" t="s">
        <v>78</v>
      </c>
      <c r="B43" s="29" t="s">
        <v>200</v>
      </c>
      <c r="C43" s="28"/>
      <c r="D43" s="28"/>
      <c r="E43" s="28"/>
      <c r="F43" s="16"/>
      <c r="G43" s="102"/>
      <c r="H43" s="10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0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Q43" s="91">
        <f t="shared" si="0"/>
        <v>0</v>
      </c>
    </row>
    <row r="44" spans="1:43" ht="36" customHeight="1" x14ac:dyDescent="0.25">
      <c r="A44" s="19" t="s">
        <v>79</v>
      </c>
      <c r="B44" s="88" t="s">
        <v>200</v>
      </c>
      <c r="C44" s="28"/>
      <c r="D44" s="28"/>
      <c r="E44" s="28"/>
      <c r="F44" s="28"/>
      <c r="G44" s="102"/>
      <c r="H44" s="10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04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Q44" s="91">
        <f t="shared" si="0"/>
        <v>0</v>
      </c>
    </row>
    <row r="45" spans="1:43" ht="27.95" customHeight="1" x14ac:dyDescent="0.25">
      <c r="A45" s="19" t="s">
        <v>80</v>
      </c>
      <c r="B45" s="88" t="s">
        <v>200</v>
      </c>
      <c r="C45" s="28"/>
      <c r="D45" s="28"/>
      <c r="E45" s="28"/>
      <c r="F45" s="28"/>
      <c r="G45" s="102"/>
      <c r="H45" s="104"/>
      <c r="I45" s="15"/>
      <c r="J45" s="15"/>
      <c r="K45" s="15"/>
      <c r="L45" s="15"/>
      <c r="M45" s="15"/>
      <c r="N45" s="15"/>
      <c r="O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04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91">
        <f t="shared" si="0"/>
        <v>0</v>
      </c>
    </row>
    <row r="46" spans="1:43" ht="27.95" customHeight="1" x14ac:dyDescent="0.25">
      <c r="A46" s="19" t="s">
        <v>81</v>
      </c>
      <c r="B46" s="88" t="s">
        <v>200</v>
      </c>
      <c r="C46" s="28"/>
      <c r="D46" s="28"/>
      <c r="E46" s="28"/>
      <c r="F46" s="28"/>
      <c r="G46" s="102"/>
      <c r="H46" s="104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04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91">
        <f t="shared" si="0"/>
        <v>0</v>
      </c>
    </row>
    <row r="47" spans="1:43" ht="27.95" customHeight="1" x14ac:dyDescent="0.25">
      <c r="A47" s="19" t="s">
        <v>199</v>
      </c>
      <c r="B47" s="88" t="s">
        <v>200</v>
      </c>
      <c r="C47" s="28"/>
      <c r="D47" s="28"/>
      <c r="E47" s="28"/>
      <c r="F47" s="87"/>
      <c r="G47" s="102"/>
      <c r="H47" s="10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04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Q47" s="91">
        <f t="shared" si="0"/>
        <v>0</v>
      </c>
    </row>
    <row r="48" spans="1:43" s="33" customFormat="1" ht="33" customHeight="1" x14ac:dyDescent="0.25">
      <c r="A48" s="26" t="s">
        <v>119</v>
      </c>
      <c r="B48" s="30" t="s">
        <v>120</v>
      </c>
      <c r="C48" s="166"/>
      <c r="D48" s="166"/>
      <c r="E48" s="166"/>
      <c r="F48" s="31"/>
      <c r="G48" s="32">
        <f t="shared" ref="G48:AO48" si="1">SUM(G5:G47)</f>
        <v>2681500</v>
      </c>
      <c r="H48" s="32">
        <f t="shared" si="1"/>
        <v>1340830</v>
      </c>
      <c r="I48" s="32">
        <f t="shared" si="1"/>
        <v>677323.57</v>
      </c>
      <c r="J48" s="32">
        <f t="shared" si="1"/>
        <v>499163.27999999997</v>
      </c>
      <c r="K48" s="32">
        <f t="shared" si="1"/>
        <v>545000</v>
      </c>
      <c r="L48" s="32">
        <f t="shared" si="1"/>
        <v>11486000</v>
      </c>
      <c r="M48" s="32">
        <f t="shared" si="1"/>
        <v>264601.32</v>
      </c>
      <c r="N48" s="32">
        <f t="shared" si="1"/>
        <v>218500</v>
      </c>
      <c r="O48" s="32">
        <f t="shared" si="1"/>
        <v>381737.3</v>
      </c>
      <c r="P48" s="32">
        <f t="shared" si="1"/>
        <v>24780</v>
      </c>
      <c r="Q48" s="32">
        <f t="shared" si="1"/>
        <v>234009.55</v>
      </c>
      <c r="R48" s="32">
        <f t="shared" si="1"/>
        <v>102040.81</v>
      </c>
      <c r="S48" s="32">
        <f t="shared" si="1"/>
        <v>25000</v>
      </c>
      <c r="T48" s="32">
        <f t="shared" si="1"/>
        <v>0</v>
      </c>
      <c r="U48" s="32">
        <f t="shared" si="1"/>
        <v>973237.20000000007</v>
      </c>
      <c r="V48" s="32">
        <f t="shared" si="1"/>
        <v>6000000</v>
      </c>
      <c r="W48" s="32">
        <f t="shared" si="1"/>
        <v>80524.010000000009</v>
      </c>
      <c r="X48" s="32">
        <f t="shared" si="1"/>
        <v>133549.9</v>
      </c>
      <c r="Y48" s="32">
        <f t="shared" si="1"/>
        <v>1159662.79</v>
      </c>
      <c r="Z48" s="32">
        <f t="shared" si="1"/>
        <v>155011</v>
      </c>
      <c r="AA48" s="32">
        <f t="shared" si="1"/>
        <v>441090.39999999997</v>
      </c>
      <c r="AB48" s="32">
        <f t="shared" si="1"/>
        <v>155011</v>
      </c>
      <c r="AC48" s="32">
        <f t="shared" si="1"/>
        <v>1525687</v>
      </c>
      <c r="AD48" s="32">
        <f t="shared" si="1"/>
        <v>98129.76</v>
      </c>
      <c r="AE48" s="32">
        <f t="shared" si="1"/>
        <v>982341.3</v>
      </c>
      <c r="AF48" s="32">
        <f t="shared" si="1"/>
        <v>20000</v>
      </c>
      <c r="AG48" s="32">
        <f t="shared" si="1"/>
        <v>969857.2</v>
      </c>
      <c r="AH48" s="32">
        <f t="shared" si="1"/>
        <v>26548.7</v>
      </c>
      <c r="AI48" s="32">
        <f t="shared" si="1"/>
        <v>382758.41</v>
      </c>
      <c r="AJ48" s="32">
        <f t="shared" si="1"/>
        <v>186452.33</v>
      </c>
      <c r="AK48" s="32">
        <f t="shared" si="1"/>
        <v>55000</v>
      </c>
      <c r="AL48" s="32">
        <f t="shared" si="1"/>
        <v>778823.5</v>
      </c>
      <c r="AM48" s="32">
        <f t="shared" si="1"/>
        <v>321435</v>
      </c>
      <c r="AN48" s="32">
        <f t="shared" si="1"/>
        <v>1032000</v>
      </c>
      <c r="AO48" s="32">
        <f t="shared" si="1"/>
        <v>4235888.6100000003</v>
      </c>
      <c r="AP48" s="32">
        <f>SUM(AP5:AP46)</f>
        <v>6000</v>
      </c>
      <c r="AQ48" s="32">
        <f>SUM(AQ5:AQ47)</f>
        <v>38199493.939999998</v>
      </c>
    </row>
    <row r="49" spans="12:41" x14ac:dyDescent="0.25">
      <c r="L49" s="22"/>
    </row>
    <row r="51" spans="12:41" x14ac:dyDescent="0.25">
      <c r="N51" s="22"/>
      <c r="AG51" s="89"/>
      <c r="AL51" s="22"/>
    </row>
    <row r="52" spans="12:41" x14ac:dyDescent="0.25">
      <c r="L52" s="22"/>
      <c r="AC52" s="22"/>
      <c r="AG52" s="96"/>
    </row>
    <row r="53" spans="12:41" x14ac:dyDescent="0.25">
      <c r="AG53" s="90"/>
    </row>
    <row r="55" spans="12:41" x14ac:dyDescent="0.25">
      <c r="AO55" s="22"/>
    </row>
    <row r="56" spans="12:41" x14ac:dyDescent="0.25">
      <c r="AO56" s="22"/>
    </row>
    <row r="57" spans="12:41" x14ac:dyDescent="0.25">
      <c r="AO57" s="22"/>
    </row>
  </sheetData>
  <mergeCells count="5">
    <mergeCell ref="A1:B1"/>
    <mergeCell ref="A3:B4"/>
    <mergeCell ref="G3:AQ3"/>
    <mergeCell ref="C3:E3"/>
    <mergeCell ref="C48:E48"/>
  </mergeCells>
  <pageMargins left="0.11811023622047245" right="0.11811023622047245" top="0.74803149606299213" bottom="0.15748031496062992" header="0.31496062992125984" footer="0.31496062992125984"/>
  <pageSetup paperSize="8" scale="5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7"/>
  <sheetViews>
    <sheetView topLeftCell="A16" zoomScale="84" zoomScaleNormal="84" workbookViewId="0">
      <selection activeCell="I29" sqref="I29"/>
    </sheetView>
  </sheetViews>
  <sheetFormatPr defaultColWidth="8.7109375" defaultRowHeight="15.75" x14ac:dyDescent="0.25"/>
  <cols>
    <col min="1" max="1" width="8.7109375" style="9"/>
    <col min="2" max="2" width="62.7109375" style="9" customWidth="1"/>
    <col min="3" max="3" width="17.85546875" style="9" customWidth="1"/>
    <col min="4" max="4" width="14.28515625" style="9" customWidth="1"/>
    <col min="5" max="5" width="18.42578125" style="9" customWidth="1"/>
    <col min="6" max="6" width="19.5703125" style="9" customWidth="1"/>
    <col min="7" max="7" width="17.140625" style="9" customWidth="1"/>
    <col min="8" max="8" width="9.7109375" style="9" customWidth="1"/>
    <col min="9" max="9" width="18.7109375" style="9" customWidth="1"/>
    <col min="10" max="10" width="21" style="9" customWidth="1"/>
    <col min="11" max="11" width="9.7109375" style="9" customWidth="1"/>
    <col min="12" max="12" width="16.28515625" style="9" customWidth="1"/>
    <col min="13" max="13" width="13.42578125" style="9" customWidth="1"/>
    <col min="14" max="15" width="14.7109375" style="9" customWidth="1"/>
    <col min="16" max="16" width="17.42578125" style="9" customWidth="1"/>
    <col min="17" max="17" width="18" style="9" customWidth="1"/>
    <col min="18" max="18" width="9.7109375" style="9" customWidth="1"/>
    <col min="19" max="19" width="14.42578125" style="9" customWidth="1"/>
    <col min="20" max="20" width="14.7109375" style="9" customWidth="1"/>
    <col min="21" max="21" width="14.28515625" style="9" customWidth="1"/>
    <col min="22" max="22" width="9.7109375" style="9" customWidth="1"/>
    <col min="23" max="23" width="16.28515625" style="9" customWidth="1"/>
    <col min="24" max="16384" width="8.7109375" style="9"/>
  </cols>
  <sheetData>
    <row r="1" spans="1:23" ht="21.75" customHeight="1" x14ac:dyDescent="0.25">
      <c r="A1" s="167" t="s">
        <v>91</v>
      </c>
      <c r="B1" s="168"/>
      <c r="C1" s="168"/>
      <c r="D1" s="168"/>
    </row>
    <row r="2" spans="1:2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3" x14ac:dyDescent="0.25">
      <c r="A3" s="171" t="s">
        <v>1</v>
      </c>
      <c r="B3" s="172"/>
      <c r="C3" s="177" t="s">
        <v>82</v>
      </c>
      <c r="D3" s="177"/>
      <c r="E3" s="177"/>
      <c r="F3" s="177"/>
      <c r="G3" s="177"/>
      <c r="H3" s="177"/>
      <c r="I3" s="177"/>
      <c r="J3" s="178" t="s">
        <v>83</v>
      </c>
      <c r="K3" s="178"/>
      <c r="L3" s="178"/>
      <c r="M3" s="178"/>
      <c r="N3" s="178"/>
      <c r="O3" s="178"/>
      <c r="P3" s="178"/>
      <c r="Q3" s="177" t="s">
        <v>84</v>
      </c>
      <c r="R3" s="177"/>
      <c r="S3" s="177"/>
      <c r="T3" s="177"/>
      <c r="U3" s="177"/>
      <c r="V3" s="177"/>
      <c r="W3" s="177"/>
    </row>
    <row r="4" spans="1:23" x14ac:dyDescent="0.25">
      <c r="A4" s="173"/>
      <c r="B4" s="174"/>
      <c r="C4" s="169" t="s">
        <v>85</v>
      </c>
      <c r="D4" s="170"/>
      <c r="E4" s="169" t="s">
        <v>86</v>
      </c>
      <c r="F4" s="170"/>
      <c r="G4" s="169" t="s">
        <v>87</v>
      </c>
      <c r="H4" s="170"/>
      <c r="I4" s="179" t="s">
        <v>3</v>
      </c>
      <c r="J4" s="181" t="s">
        <v>85</v>
      </c>
      <c r="K4" s="182"/>
      <c r="L4" s="181" t="s">
        <v>86</v>
      </c>
      <c r="M4" s="182"/>
      <c r="N4" s="181" t="s">
        <v>87</v>
      </c>
      <c r="O4" s="182"/>
      <c r="P4" s="183" t="s">
        <v>3</v>
      </c>
      <c r="Q4" s="169" t="s">
        <v>85</v>
      </c>
      <c r="R4" s="170"/>
      <c r="S4" s="169" t="s">
        <v>86</v>
      </c>
      <c r="T4" s="170"/>
      <c r="U4" s="169" t="s">
        <v>87</v>
      </c>
      <c r="V4" s="170"/>
      <c r="W4" s="179" t="s">
        <v>3</v>
      </c>
    </row>
    <row r="5" spans="1:23" ht="78.75" x14ac:dyDescent="0.25">
      <c r="A5" s="175"/>
      <c r="B5" s="176"/>
      <c r="C5" s="11" t="s">
        <v>89</v>
      </c>
      <c r="D5" s="11" t="s">
        <v>116</v>
      </c>
      <c r="E5" s="11" t="s">
        <v>88</v>
      </c>
      <c r="F5" s="11" t="s">
        <v>117</v>
      </c>
      <c r="G5" s="11" t="s">
        <v>90</v>
      </c>
      <c r="H5" s="11" t="s">
        <v>118</v>
      </c>
      <c r="I5" s="180"/>
      <c r="J5" s="12" t="s">
        <v>89</v>
      </c>
      <c r="K5" s="12" t="s">
        <v>116</v>
      </c>
      <c r="L5" s="12" t="s">
        <v>88</v>
      </c>
      <c r="M5" s="12" t="s">
        <v>117</v>
      </c>
      <c r="N5" s="12" t="s">
        <v>90</v>
      </c>
      <c r="O5" s="12" t="s">
        <v>118</v>
      </c>
      <c r="P5" s="184"/>
      <c r="Q5" s="11" t="s">
        <v>89</v>
      </c>
      <c r="R5" s="11" t="s">
        <v>116</v>
      </c>
      <c r="S5" s="11" t="s">
        <v>88</v>
      </c>
      <c r="T5" s="11" t="s">
        <v>117</v>
      </c>
      <c r="U5" s="11" t="s">
        <v>90</v>
      </c>
      <c r="V5" s="11" t="s">
        <v>118</v>
      </c>
      <c r="W5" s="180"/>
    </row>
    <row r="6" spans="1:23" ht="27.95" customHeight="1" x14ac:dyDescent="0.25">
      <c r="A6" s="13" t="s">
        <v>4</v>
      </c>
      <c r="B6" s="14" t="s">
        <v>5</v>
      </c>
      <c r="C6" s="15"/>
      <c r="D6" s="15"/>
      <c r="E6" s="15"/>
      <c r="F6" s="15"/>
      <c r="G6" s="15"/>
      <c r="H6" s="15"/>
      <c r="I6" s="15">
        <f>SUM(C6:H6)</f>
        <v>0</v>
      </c>
      <c r="J6" s="15"/>
      <c r="K6" s="15"/>
      <c r="L6" s="15"/>
      <c r="M6" s="15"/>
      <c r="N6" s="15"/>
      <c r="O6" s="15"/>
      <c r="P6" s="15">
        <f>SUM(J6:O6)</f>
        <v>0</v>
      </c>
      <c r="Q6" s="15"/>
      <c r="R6" s="15"/>
      <c r="S6" s="15"/>
      <c r="T6" s="15"/>
      <c r="U6" s="15"/>
      <c r="V6" s="15"/>
      <c r="W6" s="15">
        <f>SUM(Q6:V6)</f>
        <v>0</v>
      </c>
    </row>
    <row r="7" spans="1:23" ht="27.95" customHeight="1" x14ac:dyDescent="0.25">
      <c r="A7" s="13" t="s">
        <v>6</v>
      </c>
      <c r="B7" s="14" t="s">
        <v>7</v>
      </c>
      <c r="C7" s="15"/>
      <c r="D7" s="15"/>
      <c r="E7" s="15"/>
      <c r="F7" s="15"/>
      <c r="G7" s="15">
        <v>40438.730000000003</v>
      </c>
      <c r="H7" s="15"/>
      <c r="I7" s="15">
        <f t="shared" ref="I7:I32" si="0">SUM(C7:H7)</f>
        <v>40438.730000000003</v>
      </c>
      <c r="K7" s="15"/>
      <c r="L7" s="15"/>
      <c r="M7" s="15"/>
      <c r="N7" s="15">
        <v>40438.730000000003</v>
      </c>
      <c r="O7" s="15"/>
      <c r="P7" s="15">
        <f>SUM(K7:O7)</f>
        <v>40438.730000000003</v>
      </c>
      <c r="R7" s="15"/>
      <c r="S7" s="15"/>
      <c r="T7" s="15"/>
      <c r="U7" s="15">
        <v>40438.730000000003</v>
      </c>
      <c r="V7" s="15"/>
      <c r="W7" s="15">
        <f t="shared" ref="W7:W32" si="1">SUM(Q7:V7)</f>
        <v>40438.730000000003</v>
      </c>
    </row>
    <row r="8" spans="1:23" ht="27.95" customHeight="1" x14ac:dyDescent="0.25">
      <c r="A8" s="16" t="s">
        <v>8</v>
      </c>
      <c r="B8" s="14" t="s">
        <v>9</v>
      </c>
      <c r="C8" s="15">
        <v>20000</v>
      </c>
      <c r="D8" s="15"/>
      <c r="E8" s="15"/>
      <c r="F8" s="15"/>
      <c r="G8" s="15"/>
      <c r="H8" s="15"/>
      <c r="I8" s="15">
        <f t="shared" si="0"/>
        <v>20000</v>
      </c>
      <c r="J8" s="15">
        <v>20000</v>
      </c>
      <c r="K8" s="15"/>
      <c r="L8" s="15"/>
      <c r="M8" s="15"/>
      <c r="N8" s="15"/>
      <c r="O8" s="15">
        <v>51276.05</v>
      </c>
      <c r="P8" s="15">
        <f t="shared" ref="P8:P32" si="2">SUM(J8:O8)</f>
        <v>71276.05</v>
      </c>
      <c r="Q8" s="15">
        <v>20000</v>
      </c>
      <c r="R8" s="15"/>
      <c r="S8" s="15"/>
      <c r="T8" s="15"/>
      <c r="U8" s="15"/>
      <c r="V8" s="15"/>
      <c r="W8" s="15">
        <f t="shared" si="1"/>
        <v>20000</v>
      </c>
    </row>
    <row r="9" spans="1:23" ht="27.95" customHeight="1" x14ac:dyDescent="0.25">
      <c r="A9" s="13" t="s">
        <v>10</v>
      </c>
      <c r="B9" s="17" t="s">
        <v>11</v>
      </c>
      <c r="C9" s="15"/>
      <c r="D9" s="15"/>
      <c r="E9" s="15"/>
      <c r="F9" s="15"/>
      <c r="G9" s="15"/>
      <c r="H9" s="15"/>
      <c r="I9" s="15">
        <f t="shared" si="0"/>
        <v>0</v>
      </c>
      <c r="J9" s="15"/>
      <c r="K9" s="15"/>
      <c r="L9" s="15"/>
      <c r="M9" s="15"/>
      <c r="N9" s="15"/>
      <c r="O9" s="15"/>
      <c r="P9" s="15">
        <f t="shared" si="2"/>
        <v>0</v>
      </c>
      <c r="Q9" s="15"/>
      <c r="R9" s="15"/>
      <c r="S9" s="15"/>
      <c r="T9" s="15"/>
      <c r="U9" s="15"/>
      <c r="V9" s="15"/>
      <c r="W9" s="15">
        <f t="shared" si="1"/>
        <v>0</v>
      </c>
    </row>
    <row r="10" spans="1:23" ht="27.95" customHeight="1" x14ac:dyDescent="0.25">
      <c r="A10" s="13" t="s">
        <v>12</v>
      </c>
      <c r="B10" s="17" t="s">
        <v>13</v>
      </c>
      <c r="C10" s="15">
        <v>278552.5</v>
      </c>
      <c r="D10" s="15"/>
      <c r="E10" s="15"/>
      <c r="F10" s="15"/>
      <c r="G10" s="15"/>
      <c r="H10" s="15"/>
      <c r="I10" s="15">
        <f t="shared" si="0"/>
        <v>278552.5</v>
      </c>
      <c r="J10" s="15">
        <v>366618.97</v>
      </c>
      <c r="K10" s="15"/>
      <c r="L10" s="15"/>
      <c r="M10" s="15"/>
      <c r="N10" s="15"/>
      <c r="O10" s="15"/>
      <c r="P10" s="15">
        <f t="shared" si="2"/>
        <v>366618.97</v>
      </c>
      <c r="Q10" s="15"/>
      <c r="R10" s="15"/>
      <c r="S10" s="15"/>
      <c r="T10" s="15"/>
      <c r="U10" s="15"/>
      <c r="V10" s="15"/>
      <c r="W10" s="15">
        <f t="shared" si="1"/>
        <v>0</v>
      </c>
    </row>
    <row r="11" spans="1:23" ht="27.95" customHeight="1" x14ac:dyDescent="0.25">
      <c r="A11" s="13" t="s">
        <v>14</v>
      </c>
      <c r="B11" s="17" t="s">
        <v>15</v>
      </c>
      <c r="C11" s="15"/>
      <c r="D11" s="15"/>
      <c r="E11" s="15"/>
      <c r="F11" s="15"/>
      <c r="G11" s="15"/>
      <c r="H11" s="15"/>
      <c r="I11" s="15">
        <f t="shared" si="0"/>
        <v>0</v>
      </c>
      <c r="J11" s="15">
        <v>225</v>
      </c>
      <c r="K11" s="15"/>
      <c r="L11" s="15"/>
      <c r="M11" s="15"/>
      <c r="N11" s="15"/>
      <c r="O11" s="15">
        <v>5153.63</v>
      </c>
      <c r="P11" s="15">
        <f t="shared" si="2"/>
        <v>5378.63</v>
      </c>
      <c r="Q11" s="15">
        <v>500000</v>
      </c>
      <c r="R11" s="15"/>
      <c r="S11" s="15"/>
      <c r="T11" s="15"/>
      <c r="U11" s="15"/>
      <c r="V11" s="15"/>
      <c r="W11" s="15">
        <f t="shared" si="1"/>
        <v>500000</v>
      </c>
    </row>
    <row r="12" spans="1:23" ht="27.95" customHeight="1" x14ac:dyDescent="0.25">
      <c r="A12" s="13" t="s">
        <v>16</v>
      </c>
      <c r="B12" s="17" t="s">
        <v>17</v>
      </c>
      <c r="C12" s="15">
        <v>485171.61</v>
      </c>
      <c r="D12" s="15"/>
      <c r="E12" s="15"/>
      <c r="F12" s="15"/>
      <c r="G12" s="15"/>
      <c r="H12" s="15"/>
      <c r="I12" s="15">
        <f t="shared" si="0"/>
        <v>485171.61</v>
      </c>
      <c r="J12" s="15">
        <v>294836.24</v>
      </c>
      <c r="K12" s="15"/>
      <c r="L12" s="15"/>
      <c r="M12" s="15"/>
      <c r="N12" s="15"/>
      <c r="O12" s="15"/>
      <c r="P12" s="15">
        <f t="shared" si="2"/>
        <v>294836.24</v>
      </c>
      <c r="Q12" s="15"/>
      <c r="R12" s="15"/>
      <c r="S12" s="15"/>
      <c r="T12" s="15"/>
      <c r="U12" s="15"/>
      <c r="V12" s="15"/>
      <c r="W12" s="15">
        <f t="shared" si="1"/>
        <v>0</v>
      </c>
    </row>
    <row r="13" spans="1:23" ht="27.95" customHeight="1" x14ac:dyDescent="0.25">
      <c r="A13" s="13" t="s">
        <v>18</v>
      </c>
      <c r="B13" s="14" t="s">
        <v>19</v>
      </c>
      <c r="C13" s="15"/>
      <c r="D13" s="15"/>
      <c r="E13" s="15"/>
      <c r="F13" s="15"/>
      <c r="G13" s="15"/>
      <c r="H13" s="15"/>
      <c r="I13" s="15">
        <f t="shared" si="0"/>
        <v>0</v>
      </c>
      <c r="J13" s="15"/>
      <c r="K13" s="15"/>
      <c r="L13" s="15"/>
      <c r="M13" s="15"/>
      <c r="N13" s="15"/>
      <c r="O13" s="15"/>
      <c r="P13" s="15">
        <f t="shared" si="2"/>
        <v>0</v>
      </c>
      <c r="Q13" s="15"/>
      <c r="R13" s="15"/>
      <c r="S13" s="15"/>
      <c r="T13" s="15"/>
      <c r="U13" s="15"/>
      <c r="V13" s="15"/>
      <c r="W13" s="15">
        <f t="shared" si="1"/>
        <v>0</v>
      </c>
    </row>
    <row r="14" spans="1:23" ht="27.95" customHeight="1" x14ac:dyDescent="0.25">
      <c r="A14" s="16" t="s">
        <v>20</v>
      </c>
      <c r="B14" s="18" t="s">
        <v>21</v>
      </c>
      <c r="C14" s="15"/>
      <c r="D14" s="15"/>
      <c r="E14" s="15"/>
      <c r="F14" s="15"/>
      <c r="G14" s="15"/>
      <c r="H14" s="15"/>
      <c r="I14" s="15">
        <f t="shared" si="0"/>
        <v>0</v>
      </c>
      <c r="J14" s="15"/>
      <c r="K14" s="15"/>
      <c r="L14" s="15"/>
      <c r="M14" s="15"/>
      <c r="N14" s="15"/>
      <c r="O14" s="15"/>
      <c r="P14" s="15">
        <f t="shared" si="2"/>
        <v>0</v>
      </c>
      <c r="Q14" s="15"/>
      <c r="R14" s="15"/>
      <c r="S14" s="15"/>
      <c r="T14" s="15"/>
      <c r="U14" s="15"/>
      <c r="V14" s="15"/>
      <c r="W14" s="15">
        <f t="shared" si="1"/>
        <v>0</v>
      </c>
    </row>
    <row r="15" spans="1:23" ht="27.95" customHeight="1" x14ac:dyDescent="0.25">
      <c r="A15" s="13" t="s">
        <v>22</v>
      </c>
      <c r="B15" s="14" t="s">
        <v>23</v>
      </c>
      <c r="C15" s="15"/>
      <c r="D15" s="15"/>
      <c r="E15" s="15"/>
      <c r="F15" s="15"/>
      <c r="G15" s="15"/>
      <c r="H15" s="15"/>
      <c r="I15" s="15">
        <f t="shared" si="0"/>
        <v>0</v>
      </c>
      <c r="J15" s="15"/>
      <c r="K15" s="15"/>
      <c r="L15" s="15"/>
      <c r="M15" s="15"/>
      <c r="N15" s="15"/>
      <c r="O15" s="15"/>
      <c r="P15" s="15">
        <f t="shared" si="2"/>
        <v>0</v>
      </c>
      <c r="Q15" s="15"/>
      <c r="R15" s="15"/>
      <c r="S15" s="15"/>
      <c r="T15" s="15"/>
      <c r="U15" s="15"/>
      <c r="V15" s="15"/>
      <c r="W15" s="15">
        <f t="shared" si="1"/>
        <v>0</v>
      </c>
    </row>
    <row r="16" spans="1:23" ht="27.95" customHeight="1" x14ac:dyDescent="0.25">
      <c r="A16" s="13" t="s">
        <v>24</v>
      </c>
      <c r="B16" s="14" t="s">
        <v>25</v>
      </c>
      <c r="C16" s="15"/>
      <c r="D16" s="15"/>
      <c r="E16" s="15"/>
      <c r="F16" s="15"/>
      <c r="G16" s="15"/>
      <c r="H16" s="15"/>
      <c r="I16" s="15">
        <f t="shared" si="0"/>
        <v>0</v>
      </c>
      <c r="J16" s="15"/>
      <c r="K16" s="15"/>
      <c r="L16" s="15"/>
      <c r="M16" s="15"/>
      <c r="N16" s="15"/>
      <c r="O16" s="15"/>
      <c r="P16" s="15">
        <f t="shared" si="2"/>
        <v>0</v>
      </c>
      <c r="Q16" s="15"/>
      <c r="R16" s="15"/>
      <c r="S16" s="15"/>
      <c r="T16" s="15"/>
      <c r="U16" s="15"/>
      <c r="V16" s="15"/>
      <c r="W16" s="15">
        <f t="shared" si="1"/>
        <v>0</v>
      </c>
    </row>
    <row r="17" spans="1:23" ht="27.95" customHeight="1" x14ac:dyDescent="0.25">
      <c r="A17" s="13" t="s">
        <v>26</v>
      </c>
      <c r="B17" s="17" t="s">
        <v>27</v>
      </c>
      <c r="C17" s="15"/>
      <c r="D17" s="15"/>
      <c r="E17" s="15"/>
      <c r="F17" s="15"/>
      <c r="G17" s="15"/>
      <c r="H17" s="15"/>
      <c r="I17" s="15">
        <f t="shared" si="0"/>
        <v>0</v>
      </c>
      <c r="J17" s="15"/>
      <c r="K17" s="15"/>
      <c r="L17" s="15">
        <v>349869.57</v>
      </c>
      <c r="M17" s="15"/>
      <c r="N17" s="15"/>
      <c r="O17" s="15"/>
      <c r="P17" s="15">
        <f t="shared" si="2"/>
        <v>349869.57</v>
      </c>
      <c r="Q17" s="15"/>
      <c r="R17" s="15"/>
      <c r="S17" s="15"/>
      <c r="T17" s="15"/>
      <c r="U17" s="15"/>
      <c r="V17" s="15"/>
      <c r="W17" s="15">
        <f t="shared" si="1"/>
        <v>0</v>
      </c>
    </row>
    <row r="18" spans="1:23" ht="27.95" customHeight="1" x14ac:dyDescent="0.25">
      <c r="A18" s="13" t="s">
        <v>28</v>
      </c>
      <c r="B18" s="17" t="s">
        <v>29</v>
      </c>
      <c r="C18" s="15"/>
      <c r="D18" s="15"/>
      <c r="E18" s="15">
        <v>177057.17</v>
      </c>
      <c r="F18" s="15"/>
      <c r="G18" s="15"/>
      <c r="H18" s="15"/>
      <c r="I18" s="15">
        <f t="shared" si="0"/>
        <v>177057.17</v>
      </c>
      <c r="J18" s="15"/>
      <c r="K18" s="15"/>
      <c r="L18" s="15">
        <v>375</v>
      </c>
      <c r="M18" s="15"/>
      <c r="N18" s="15"/>
      <c r="O18" s="15"/>
      <c r="P18" s="15">
        <f t="shared" si="2"/>
        <v>375</v>
      </c>
      <c r="Q18" s="15"/>
      <c r="R18" s="15"/>
      <c r="S18" s="15"/>
      <c r="T18" s="15"/>
      <c r="U18" s="15"/>
      <c r="V18" s="15"/>
      <c r="W18" s="15">
        <f t="shared" si="1"/>
        <v>0</v>
      </c>
    </row>
    <row r="19" spans="1:23" ht="27.95" customHeight="1" x14ac:dyDescent="0.25">
      <c r="A19" s="13" t="s">
        <v>30</v>
      </c>
      <c r="B19" s="17" t="s">
        <v>31</v>
      </c>
      <c r="C19" s="15"/>
      <c r="D19" s="15"/>
      <c r="E19" s="15"/>
      <c r="F19" s="15">
        <v>40438.730000000003</v>
      </c>
      <c r="G19" s="15"/>
      <c r="H19" s="15"/>
      <c r="I19" s="15">
        <f t="shared" si="0"/>
        <v>40438.730000000003</v>
      </c>
      <c r="K19" s="15"/>
      <c r="L19" s="15"/>
      <c r="M19" s="15">
        <v>40438.730000000003</v>
      </c>
      <c r="N19" s="15"/>
      <c r="O19" s="15"/>
      <c r="P19" s="15">
        <f>SUM(K19:O19)</f>
        <v>40438.730000000003</v>
      </c>
      <c r="R19" s="15"/>
      <c r="S19" s="15"/>
      <c r="T19" s="15">
        <v>40438.730000000003</v>
      </c>
      <c r="U19" s="15"/>
      <c r="V19" s="15"/>
      <c r="W19" s="15">
        <f t="shared" si="1"/>
        <v>40438.730000000003</v>
      </c>
    </row>
    <row r="20" spans="1:23" ht="27.95" customHeight="1" x14ac:dyDescent="0.25">
      <c r="A20" s="16" t="s">
        <v>32</v>
      </c>
      <c r="B20" s="18" t="s">
        <v>33</v>
      </c>
      <c r="C20" s="15"/>
      <c r="D20" s="15"/>
      <c r="E20" s="15"/>
      <c r="F20" s="15"/>
      <c r="G20" s="15"/>
      <c r="H20" s="15"/>
      <c r="I20" s="15">
        <f t="shared" si="0"/>
        <v>0</v>
      </c>
      <c r="J20" s="15"/>
      <c r="K20" s="15"/>
      <c r="L20" s="15"/>
      <c r="M20" s="15"/>
      <c r="N20" s="15"/>
      <c r="O20" s="15"/>
      <c r="P20" s="15">
        <f t="shared" si="2"/>
        <v>0</v>
      </c>
      <c r="Q20" s="15"/>
      <c r="R20" s="15"/>
      <c r="S20" s="15"/>
      <c r="T20" s="15"/>
      <c r="U20" s="15"/>
      <c r="V20" s="15"/>
      <c r="W20" s="15">
        <f t="shared" si="1"/>
        <v>0</v>
      </c>
    </row>
    <row r="21" spans="1:23" ht="27.95" customHeight="1" x14ac:dyDescent="0.25">
      <c r="A21" s="16" t="s">
        <v>34</v>
      </c>
      <c r="B21" s="18" t="s">
        <v>35</v>
      </c>
      <c r="C21" s="15"/>
      <c r="D21" s="15"/>
      <c r="E21" s="15"/>
      <c r="F21" s="15"/>
      <c r="G21" s="15"/>
      <c r="H21" s="15"/>
      <c r="I21" s="15">
        <f t="shared" si="0"/>
        <v>0</v>
      </c>
      <c r="J21" s="15"/>
      <c r="K21" s="15"/>
      <c r="L21" s="15"/>
      <c r="M21" s="15"/>
      <c r="N21" s="15"/>
      <c r="O21" s="15"/>
      <c r="P21" s="15">
        <f t="shared" si="2"/>
        <v>0</v>
      </c>
      <c r="Q21" s="15"/>
      <c r="R21" s="15"/>
      <c r="S21" s="15"/>
      <c r="T21" s="15"/>
      <c r="U21" s="15"/>
      <c r="V21" s="15"/>
      <c r="W21" s="15">
        <f t="shared" si="1"/>
        <v>0</v>
      </c>
    </row>
    <row r="22" spans="1:23" ht="27.95" customHeight="1" x14ac:dyDescent="0.25">
      <c r="A22" s="16" t="s">
        <v>36</v>
      </c>
      <c r="B22" s="18" t="s">
        <v>37</v>
      </c>
      <c r="C22" s="15"/>
      <c r="D22" s="15"/>
      <c r="E22" s="15"/>
      <c r="F22" s="15"/>
      <c r="G22" s="15"/>
      <c r="H22" s="15"/>
      <c r="I22" s="15">
        <f t="shared" si="0"/>
        <v>0</v>
      </c>
      <c r="J22" s="15"/>
      <c r="K22" s="15"/>
      <c r="L22" s="15"/>
      <c r="M22" s="15"/>
      <c r="N22" s="15"/>
      <c r="O22" s="15"/>
      <c r="P22" s="15">
        <f t="shared" si="2"/>
        <v>0</v>
      </c>
      <c r="Q22" s="15"/>
      <c r="R22" s="15"/>
      <c r="S22" s="15"/>
      <c r="T22" s="15"/>
      <c r="U22" s="15"/>
      <c r="V22" s="15"/>
      <c r="W22" s="15">
        <f t="shared" si="1"/>
        <v>0</v>
      </c>
    </row>
    <row r="23" spans="1:23" ht="27.95" customHeight="1" x14ac:dyDescent="0.25">
      <c r="A23" s="19" t="s">
        <v>38</v>
      </c>
      <c r="B23" s="18" t="s">
        <v>39</v>
      </c>
      <c r="C23" s="15"/>
      <c r="D23" s="15"/>
      <c r="E23" s="15"/>
      <c r="F23" s="15"/>
      <c r="G23" s="15"/>
      <c r="H23" s="15"/>
      <c r="I23" s="15">
        <f t="shared" si="0"/>
        <v>0</v>
      </c>
      <c r="J23" s="15"/>
      <c r="K23" s="15"/>
      <c r="L23" s="15"/>
      <c r="M23" s="15"/>
      <c r="N23" s="15"/>
      <c r="O23" s="15"/>
      <c r="P23" s="15">
        <f t="shared" si="2"/>
        <v>0</v>
      </c>
      <c r="Q23" s="15"/>
      <c r="R23" s="15"/>
      <c r="S23" s="15"/>
      <c r="T23" s="15"/>
      <c r="U23" s="15"/>
      <c r="V23" s="15"/>
      <c r="W23" s="15">
        <f t="shared" si="1"/>
        <v>0</v>
      </c>
    </row>
    <row r="24" spans="1:23" ht="27.95" customHeight="1" x14ac:dyDescent="0.25">
      <c r="A24" s="16" t="s">
        <v>40</v>
      </c>
      <c r="B24" s="18" t="s">
        <v>41</v>
      </c>
      <c r="C24" s="15"/>
      <c r="D24" s="15"/>
      <c r="E24" s="15"/>
      <c r="F24" s="15"/>
      <c r="G24" s="15"/>
      <c r="H24" s="15"/>
      <c r="I24" s="15">
        <f t="shared" si="0"/>
        <v>0</v>
      </c>
      <c r="J24" s="15"/>
      <c r="K24" s="15"/>
      <c r="L24" s="15"/>
      <c r="M24" s="15"/>
      <c r="N24" s="15"/>
      <c r="O24" s="15"/>
      <c r="P24" s="15">
        <f t="shared" si="2"/>
        <v>0</v>
      </c>
      <c r="Q24" s="15"/>
      <c r="R24" s="15"/>
      <c r="S24" s="15"/>
      <c r="T24" s="15"/>
      <c r="U24" s="15"/>
      <c r="V24" s="15"/>
      <c r="W24" s="15">
        <f t="shared" si="1"/>
        <v>0</v>
      </c>
    </row>
    <row r="25" spans="1:23" ht="27.95" customHeight="1" x14ac:dyDescent="0.25">
      <c r="A25" s="16" t="s">
        <v>42</v>
      </c>
      <c r="B25" s="18" t="s">
        <v>43</v>
      </c>
      <c r="C25" s="15"/>
      <c r="D25" s="15"/>
      <c r="E25" s="15"/>
      <c r="F25" s="15"/>
      <c r="G25" s="15"/>
      <c r="H25" s="15"/>
      <c r="I25" s="15">
        <f t="shared" si="0"/>
        <v>0</v>
      </c>
      <c r="J25" s="15"/>
      <c r="K25" s="15"/>
      <c r="L25" s="15"/>
      <c r="M25" s="15"/>
      <c r="N25" s="15"/>
      <c r="O25" s="15"/>
      <c r="P25" s="15">
        <f t="shared" si="2"/>
        <v>0</v>
      </c>
      <c r="Q25" s="15"/>
      <c r="R25" s="15"/>
      <c r="S25" s="15"/>
      <c r="T25" s="15"/>
      <c r="U25" s="15"/>
      <c r="V25" s="15"/>
      <c r="W25" s="15">
        <f t="shared" si="1"/>
        <v>0</v>
      </c>
    </row>
    <row r="26" spans="1:23" ht="27.95" customHeight="1" x14ac:dyDescent="0.25">
      <c r="A26" s="19" t="s">
        <v>44</v>
      </c>
      <c r="B26" s="18" t="s">
        <v>45</v>
      </c>
      <c r="C26" s="15">
        <v>20000</v>
      </c>
      <c r="D26" s="15"/>
      <c r="E26" s="15"/>
      <c r="F26" s="15"/>
      <c r="G26" s="15"/>
      <c r="H26" s="15"/>
      <c r="I26" s="15">
        <f t="shared" si="0"/>
        <v>20000</v>
      </c>
      <c r="J26" s="15">
        <f>20000+17000</f>
        <v>37000</v>
      </c>
      <c r="K26" s="15"/>
      <c r="L26" s="15"/>
      <c r="M26" s="15"/>
      <c r="N26" s="15"/>
      <c r="O26" s="15"/>
      <c r="P26" s="15">
        <f t="shared" si="2"/>
        <v>37000</v>
      </c>
      <c r="Q26" s="15">
        <v>20000</v>
      </c>
      <c r="R26" s="15"/>
      <c r="S26" s="15"/>
      <c r="T26" s="15"/>
      <c r="U26" s="15"/>
      <c r="V26" s="15"/>
      <c r="W26" s="15">
        <f t="shared" si="1"/>
        <v>20000</v>
      </c>
    </row>
    <row r="27" spans="1:23" ht="27.95" customHeight="1" x14ac:dyDescent="0.25">
      <c r="A27" s="19" t="s">
        <v>46</v>
      </c>
      <c r="B27" s="18" t="s">
        <v>47</v>
      </c>
      <c r="C27" s="15"/>
      <c r="D27" s="15"/>
      <c r="E27" s="15"/>
      <c r="F27" s="15"/>
      <c r="G27" s="15"/>
      <c r="H27" s="15"/>
      <c r="I27" s="15">
        <f t="shared" si="0"/>
        <v>0</v>
      </c>
      <c r="J27" s="15"/>
      <c r="K27" s="15"/>
      <c r="L27" s="15"/>
      <c r="M27" s="15"/>
      <c r="N27" s="15"/>
      <c r="O27" s="15"/>
      <c r="P27" s="15">
        <f t="shared" si="2"/>
        <v>0</v>
      </c>
      <c r="Q27" s="15"/>
      <c r="R27" s="15"/>
      <c r="S27" s="15"/>
      <c r="T27" s="15"/>
      <c r="U27" s="15"/>
      <c r="V27" s="15"/>
      <c r="W27" s="15">
        <f t="shared" si="1"/>
        <v>0</v>
      </c>
    </row>
    <row r="28" spans="1:23" ht="27.95" customHeight="1" x14ac:dyDescent="0.25">
      <c r="A28" s="19" t="s">
        <v>48</v>
      </c>
      <c r="B28" s="18" t="s">
        <v>49</v>
      </c>
      <c r="C28" s="15"/>
      <c r="D28" s="15"/>
      <c r="E28" s="15"/>
      <c r="F28" s="15"/>
      <c r="G28" s="15"/>
      <c r="H28" s="15"/>
      <c r="I28" s="15">
        <f t="shared" si="0"/>
        <v>0</v>
      </c>
      <c r="J28" s="15"/>
      <c r="K28" s="15"/>
      <c r="L28" s="15"/>
      <c r="M28" s="15"/>
      <c r="N28" s="15"/>
      <c r="O28" s="15"/>
      <c r="P28" s="15">
        <f t="shared" si="2"/>
        <v>0</v>
      </c>
      <c r="Q28" s="15"/>
      <c r="R28" s="15"/>
      <c r="S28" s="15"/>
      <c r="T28" s="15"/>
      <c r="U28" s="15"/>
      <c r="V28" s="15"/>
      <c r="W28" s="15">
        <f t="shared" si="1"/>
        <v>0</v>
      </c>
    </row>
    <row r="29" spans="1:23" ht="27.95" customHeight="1" x14ac:dyDescent="0.25">
      <c r="A29" s="19" t="s">
        <v>50</v>
      </c>
      <c r="B29" s="18" t="s">
        <v>51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>
        <f t="shared" si="1"/>
        <v>0</v>
      </c>
    </row>
    <row r="30" spans="1:23" ht="27.95" customHeight="1" x14ac:dyDescent="0.25">
      <c r="A30" s="19" t="s">
        <v>52</v>
      </c>
      <c r="B30" s="18" t="s">
        <v>53</v>
      </c>
      <c r="C30" s="15"/>
      <c r="D30" s="15"/>
      <c r="E30" s="15"/>
      <c r="F30" s="15"/>
      <c r="G30" s="15"/>
      <c r="H30" s="15"/>
      <c r="I30" s="15">
        <f t="shared" si="0"/>
        <v>0</v>
      </c>
      <c r="J30" s="15"/>
      <c r="K30" s="15"/>
      <c r="L30" s="15"/>
      <c r="M30" s="15"/>
      <c r="N30" s="15"/>
      <c r="O30" s="15"/>
      <c r="P30" s="15">
        <f t="shared" si="2"/>
        <v>0</v>
      </c>
      <c r="Q30" s="15"/>
      <c r="R30" s="15"/>
      <c r="S30" s="15"/>
      <c r="T30" s="15"/>
      <c r="U30" s="15"/>
      <c r="V30" s="15"/>
      <c r="W30" s="15">
        <f t="shared" si="1"/>
        <v>0</v>
      </c>
    </row>
    <row r="31" spans="1:23" ht="27.95" customHeight="1" x14ac:dyDescent="0.25">
      <c r="A31" s="19" t="s">
        <v>54</v>
      </c>
      <c r="B31" s="18" t="s">
        <v>176</v>
      </c>
      <c r="C31" s="15"/>
      <c r="D31" s="15"/>
      <c r="E31" s="15"/>
      <c r="F31" s="15"/>
      <c r="G31" s="15"/>
      <c r="H31" s="15"/>
      <c r="I31" s="15">
        <f t="shared" si="0"/>
        <v>0</v>
      </c>
      <c r="J31" s="15"/>
      <c r="K31" s="15"/>
      <c r="L31" s="15"/>
      <c r="M31" s="15"/>
      <c r="N31" s="15"/>
      <c r="O31" s="15"/>
      <c r="P31" s="15">
        <f t="shared" si="2"/>
        <v>0</v>
      </c>
      <c r="Q31" s="15"/>
      <c r="R31" s="15"/>
      <c r="S31" s="15"/>
      <c r="T31" s="15"/>
      <c r="U31" s="15"/>
      <c r="V31" s="15"/>
      <c r="W31" s="15">
        <f t="shared" si="1"/>
        <v>0</v>
      </c>
    </row>
    <row r="32" spans="1:23" ht="37.5" customHeight="1" x14ac:dyDescent="0.25">
      <c r="A32" s="19" t="s">
        <v>55</v>
      </c>
      <c r="B32" s="18" t="s">
        <v>56</v>
      </c>
      <c r="C32" s="15"/>
      <c r="D32" s="15"/>
      <c r="E32" s="15"/>
      <c r="F32" s="15"/>
      <c r="G32" s="15"/>
      <c r="H32" s="15"/>
      <c r="I32" s="15">
        <f t="shared" si="0"/>
        <v>0</v>
      </c>
      <c r="J32" s="15"/>
      <c r="K32" s="15"/>
      <c r="L32" s="15"/>
      <c r="M32" s="15"/>
      <c r="N32" s="15"/>
      <c r="O32" s="15"/>
      <c r="P32" s="15">
        <f t="shared" si="2"/>
        <v>0</v>
      </c>
      <c r="Q32" s="15"/>
      <c r="R32" s="15"/>
      <c r="S32" s="15"/>
      <c r="T32" s="15"/>
      <c r="U32" s="15"/>
      <c r="V32" s="15"/>
      <c r="W32" s="15">
        <f t="shared" si="1"/>
        <v>0</v>
      </c>
    </row>
    <row r="33" spans="1:23" ht="27.95" customHeight="1" x14ac:dyDescent="0.25">
      <c r="A33" s="19" t="s">
        <v>57</v>
      </c>
      <c r="B33" s="18" t="s">
        <v>58</v>
      </c>
      <c r="C33" s="15">
        <v>31972.5</v>
      </c>
      <c r="D33" s="15"/>
      <c r="E33" s="15">
        <v>112600.68</v>
      </c>
      <c r="F33" s="15"/>
      <c r="G33" s="15"/>
      <c r="H33" s="15"/>
      <c r="I33" s="15">
        <f t="shared" ref="I33" si="3">SUM(C33:H33)</f>
        <v>144573.18</v>
      </c>
      <c r="J33" s="15"/>
      <c r="K33" s="15"/>
      <c r="L33" s="15"/>
      <c r="M33" s="15"/>
      <c r="N33" s="15"/>
      <c r="O33" s="15"/>
      <c r="P33" s="15">
        <f t="shared" ref="P33" si="4">SUM(J33:O33)</f>
        <v>0</v>
      </c>
      <c r="Q33" s="15">
        <v>161680.21</v>
      </c>
      <c r="R33" s="15"/>
      <c r="S33" s="15">
        <v>73804.679999999993</v>
      </c>
      <c r="T33" s="15"/>
      <c r="U33" s="15"/>
      <c r="V33" s="15"/>
      <c r="W33" s="15">
        <f t="shared" ref="W33" si="5">SUM(Q33:V33)</f>
        <v>235484.88999999998</v>
      </c>
    </row>
    <row r="34" spans="1:23" ht="27.95" customHeight="1" x14ac:dyDescent="0.25">
      <c r="A34" s="12" t="s">
        <v>119</v>
      </c>
      <c r="B34" s="20" t="s">
        <v>121</v>
      </c>
      <c r="C34" s="21">
        <f>SUM(C6:C33)</f>
        <v>835696.61</v>
      </c>
      <c r="D34" s="21">
        <f t="shared" ref="D34:W34" si="6">SUM(D6:D33)</f>
        <v>0</v>
      </c>
      <c r="E34" s="21">
        <f t="shared" si="6"/>
        <v>289657.84999999998</v>
      </c>
      <c r="F34" s="21">
        <f t="shared" si="6"/>
        <v>40438.730000000003</v>
      </c>
      <c r="G34" s="21">
        <f t="shared" si="6"/>
        <v>40438.730000000003</v>
      </c>
      <c r="H34" s="21">
        <f t="shared" si="6"/>
        <v>0</v>
      </c>
      <c r="I34" s="21">
        <f t="shared" si="6"/>
        <v>1206231.92</v>
      </c>
      <c r="J34" s="21">
        <f t="shared" si="6"/>
        <v>718680.21</v>
      </c>
      <c r="K34" s="21">
        <f t="shared" si="6"/>
        <v>0</v>
      </c>
      <c r="L34" s="21">
        <f t="shared" si="6"/>
        <v>350244.57</v>
      </c>
      <c r="M34" s="21">
        <f t="shared" si="6"/>
        <v>40438.730000000003</v>
      </c>
      <c r="N34" s="21">
        <f t="shared" si="6"/>
        <v>40438.730000000003</v>
      </c>
      <c r="O34" s="21">
        <f t="shared" si="6"/>
        <v>56429.68</v>
      </c>
      <c r="P34" s="21">
        <f t="shared" si="6"/>
        <v>1206231.92</v>
      </c>
      <c r="Q34" s="21">
        <f t="shared" si="6"/>
        <v>701680.21</v>
      </c>
      <c r="R34" s="21">
        <f t="shared" si="6"/>
        <v>0</v>
      </c>
      <c r="S34" s="21">
        <f t="shared" si="6"/>
        <v>73804.679999999993</v>
      </c>
      <c r="T34" s="21">
        <f t="shared" si="6"/>
        <v>40438.730000000003</v>
      </c>
      <c r="U34" s="21">
        <f t="shared" si="6"/>
        <v>40438.730000000003</v>
      </c>
      <c r="V34" s="21">
        <f t="shared" si="6"/>
        <v>0</v>
      </c>
      <c r="W34" s="21">
        <f t="shared" si="6"/>
        <v>856362.35</v>
      </c>
    </row>
    <row r="37" spans="1:23" x14ac:dyDescent="0.25">
      <c r="I37" s="22"/>
    </row>
  </sheetData>
  <mergeCells count="17">
    <mergeCell ref="J3:P3"/>
    <mergeCell ref="Q3:W3"/>
    <mergeCell ref="I4:I5"/>
    <mergeCell ref="J4:K4"/>
    <mergeCell ref="L4:M4"/>
    <mergeCell ref="N4:O4"/>
    <mergeCell ref="Q4:R4"/>
    <mergeCell ref="S4:T4"/>
    <mergeCell ref="U4:V4"/>
    <mergeCell ref="W4:W5"/>
    <mergeCell ref="P4:P5"/>
    <mergeCell ref="A1:D1"/>
    <mergeCell ref="C4:D4"/>
    <mergeCell ref="E4:F4"/>
    <mergeCell ref="G4:H4"/>
    <mergeCell ref="A3:B5"/>
    <mergeCell ref="C3:I3"/>
  </mergeCells>
  <pageMargins left="0.39370078740157483" right="0.19685039370078741" top="0.74803149606299213" bottom="0.74803149606299213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BUDGET PDZ</vt:lpstr>
      <vt:lpstr>scheda A</vt:lpstr>
      <vt:lpstr>scheda B</vt:lpstr>
      <vt:lpstr>scheda C</vt:lpstr>
      <vt:lpstr>Dettaglio FNPS</vt:lpstr>
      <vt:lpstr>'BUDGET PDZ'!Area_stampa</vt:lpstr>
      <vt:lpstr>'scheda A'!Area_stampa</vt:lpstr>
      <vt:lpstr>'scheda B'!Area_stampa</vt:lpstr>
      <vt:lpstr>'scheda C'!Area_stampa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Evangelina Caso</cp:lastModifiedBy>
  <cp:lastPrinted>2024-02-13T15:40:09Z</cp:lastPrinted>
  <dcterms:created xsi:type="dcterms:W3CDTF">2022-04-26T10:21:35Z</dcterms:created>
  <dcterms:modified xsi:type="dcterms:W3CDTF">2024-02-16T08:57:23Z</dcterms:modified>
</cp:coreProperties>
</file>